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2 рік\Очеретному, сайт, пайова\"/>
    </mc:Choice>
  </mc:AlternateContent>
  <bookViews>
    <workbookView xWindow="0" yWindow="0" windowWidth="28800" windowHeight="12015"/>
  </bookViews>
  <sheets>
    <sheet name="2022" sheetId="22" r:id="rId1"/>
  </sheets>
  <definedNames>
    <definedName name="_xlnm.Print_Titles" localSheetId="0">'2022'!$3:$5</definedName>
    <definedName name="_xlnm.Print_Area" localSheetId="0">'2022'!$A$1:$S$105</definedName>
  </definedNames>
  <calcPr calcId="152511"/>
</workbook>
</file>

<file path=xl/calcChain.xml><?xml version="1.0" encoding="utf-8"?>
<calcChain xmlns="http://schemas.openxmlformats.org/spreadsheetml/2006/main">
  <c r="F57" i="22" l="1"/>
  <c r="N57" i="22" s="1"/>
  <c r="K57" i="22" l="1"/>
  <c r="M81" i="22"/>
  <c r="M80" i="22"/>
  <c r="M79" i="22"/>
  <c r="M78" i="22"/>
  <c r="M77" i="22"/>
  <c r="M74" i="22"/>
  <c r="M73" i="22"/>
  <c r="M71" i="22"/>
  <c r="M68" i="22"/>
  <c r="M45" i="22"/>
  <c r="M44" i="22"/>
  <c r="M43" i="22"/>
  <c r="M42" i="22"/>
  <c r="M41" i="22"/>
  <c r="M40" i="22"/>
  <c r="M39" i="22"/>
  <c r="M38" i="22"/>
  <c r="M37" i="22"/>
  <c r="M36" i="22"/>
  <c r="M35" i="22"/>
  <c r="M34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8" i="22"/>
  <c r="M17" i="22"/>
  <c r="M16" i="22"/>
  <c r="M15" i="22"/>
  <c r="M13" i="22"/>
  <c r="M12" i="22"/>
  <c r="M11" i="22"/>
  <c r="M10" i="22"/>
  <c r="M8" i="22"/>
  <c r="M7" i="22"/>
  <c r="R57" i="22"/>
  <c r="Q52" i="22"/>
  <c r="H88" i="22" l="1"/>
  <c r="H87" i="22"/>
  <c r="H76" i="22"/>
  <c r="H67" i="22"/>
  <c r="H82" i="22" s="1"/>
  <c r="H91" i="22" s="1"/>
  <c r="H93" i="22" s="1"/>
  <c r="H62" i="22"/>
  <c r="H99" i="22" s="1"/>
  <c r="H60" i="22"/>
  <c r="H52" i="22"/>
  <c r="H63" i="22" s="1"/>
  <c r="H33" i="22"/>
  <c r="H19" i="22"/>
  <c r="H14" i="22"/>
  <c r="H9" i="22"/>
  <c r="H61" i="22" l="1"/>
  <c r="H58" i="22" s="1"/>
  <c r="H46" i="22"/>
  <c r="H95" i="22" s="1"/>
  <c r="H100" i="22"/>
  <c r="H98" i="22" s="1"/>
  <c r="H97" i="22"/>
  <c r="H65" i="22"/>
  <c r="H84" i="22"/>
  <c r="F72" i="22"/>
  <c r="R72" i="22" s="1"/>
  <c r="F70" i="22"/>
  <c r="R70" i="22" s="1"/>
  <c r="F18" i="22"/>
  <c r="R18" i="22" s="1"/>
  <c r="I9" i="22"/>
  <c r="I33" i="22"/>
  <c r="I19" i="22"/>
  <c r="I14" i="22"/>
  <c r="I52" i="22"/>
  <c r="N70" i="22" l="1"/>
  <c r="N72" i="22"/>
  <c r="N18" i="22"/>
  <c r="I46" i="22"/>
  <c r="H102" i="22"/>
  <c r="K18" i="22"/>
  <c r="K72" i="22"/>
  <c r="M47" i="22" l="1"/>
  <c r="M48" i="22"/>
  <c r="M49" i="22"/>
  <c r="M50" i="22"/>
  <c r="M51" i="22"/>
  <c r="M53" i="22"/>
  <c r="M54" i="22"/>
  <c r="M55" i="22"/>
  <c r="M56" i="22"/>
  <c r="I88" i="22" l="1"/>
  <c r="I67" i="22"/>
  <c r="I76" i="22"/>
  <c r="I60" i="22"/>
  <c r="I62" i="22"/>
  <c r="I63" i="22"/>
  <c r="I100" i="22" s="1"/>
  <c r="F89" i="22"/>
  <c r="F85" i="22"/>
  <c r="F81" i="22"/>
  <c r="F80" i="22"/>
  <c r="F79" i="22"/>
  <c r="S79" i="22" s="1"/>
  <c r="F78" i="22"/>
  <c r="F77" i="22"/>
  <c r="F75" i="22"/>
  <c r="F74" i="22"/>
  <c r="F73" i="22"/>
  <c r="F71" i="22"/>
  <c r="F69" i="22"/>
  <c r="F68" i="22"/>
  <c r="F56" i="22"/>
  <c r="F55" i="22"/>
  <c r="F54" i="22"/>
  <c r="S54" i="22" s="1"/>
  <c r="F53" i="22"/>
  <c r="S53" i="22" s="1"/>
  <c r="F51" i="22"/>
  <c r="F50" i="22"/>
  <c r="F49" i="22"/>
  <c r="F48" i="22"/>
  <c r="F47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32" i="22"/>
  <c r="F31" i="22"/>
  <c r="F30" i="22"/>
  <c r="F29" i="22"/>
  <c r="F28" i="22"/>
  <c r="F27" i="22"/>
  <c r="F26" i="22"/>
  <c r="F25" i="22"/>
  <c r="S25" i="22" s="1"/>
  <c r="F24" i="22"/>
  <c r="F23" i="22"/>
  <c r="F22" i="22"/>
  <c r="F21" i="22"/>
  <c r="F20" i="22"/>
  <c r="F17" i="22"/>
  <c r="F16" i="22"/>
  <c r="F15" i="22"/>
  <c r="F13" i="22"/>
  <c r="S13" i="22" s="1"/>
  <c r="F12" i="22"/>
  <c r="F11" i="22"/>
  <c r="S11" i="22" s="1"/>
  <c r="F10" i="22"/>
  <c r="F8" i="22"/>
  <c r="F7" i="22"/>
  <c r="S15" i="22" l="1"/>
  <c r="L15" i="22"/>
  <c r="O10" i="22"/>
  <c r="S10" i="22"/>
  <c r="S16" i="22"/>
  <c r="L16" i="22"/>
  <c r="S32" i="22"/>
  <c r="R32" i="22"/>
  <c r="I82" i="22"/>
  <c r="I95" i="22" s="1"/>
  <c r="I99" i="22"/>
  <c r="I98" i="22" s="1"/>
  <c r="I87" i="22"/>
  <c r="I61" i="22"/>
  <c r="I84" i="22" l="1"/>
  <c r="I91" i="22"/>
  <c r="I58" i="22"/>
  <c r="I97" i="22" s="1"/>
  <c r="I93" i="22" l="1"/>
  <c r="I102" i="22"/>
  <c r="I65" i="22"/>
  <c r="S74" i="22"/>
  <c r="L79" i="22" l="1"/>
  <c r="O48" i="22"/>
  <c r="P48" i="22"/>
  <c r="L48" i="22"/>
  <c r="G60" i="22"/>
  <c r="F60" i="22" s="1"/>
  <c r="Q62" i="22"/>
  <c r="M62" i="22"/>
  <c r="J62" i="22"/>
  <c r="G62" i="22"/>
  <c r="F62" i="22" s="1"/>
  <c r="D62" i="22"/>
  <c r="S50" i="22"/>
  <c r="A48" i="22"/>
  <c r="M60" i="22" l="1"/>
  <c r="O60" i="22" s="1"/>
  <c r="M85" i="22"/>
  <c r="M67" i="22"/>
  <c r="M88" i="22"/>
  <c r="M87" i="22" s="1"/>
  <c r="P20" i="22"/>
  <c r="P10" i="22"/>
  <c r="M76" i="22" l="1"/>
  <c r="N10" i="22"/>
  <c r="M82" i="22"/>
  <c r="M84" i="22" s="1"/>
  <c r="M99" i="22"/>
  <c r="K10" i="22"/>
  <c r="M91" i="22" l="1"/>
  <c r="M93" i="22" s="1"/>
  <c r="D33" i="22" l="1"/>
  <c r="M33" i="22" s="1"/>
  <c r="R10" i="22"/>
  <c r="Q9" i="22"/>
  <c r="J9" i="22"/>
  <c r="G9" i="22"/>
  <c r="F9" i="22" s="1"/>
  <c r="D9" i="22"/>
  <c r="M9" i="22" s="1"/>
  <c r="P32" i="22" l="1"/>
  <c r="K32" i="22"/>
  <c r="L32" i="22"/>
  <c r="O32" i="22"/>
  <c r="N32" i="22"/>
  <c r="P9" i="22"/>
  <c r="Q88" i="22" l="1"/>
  <c r="Q87" i="22" s="1"/>
  <c r="Q76" i="22"/>
  <c r="Q67" i="22"/>
  <c r="Q82" i="22" s="1"/>
  <c r="Q60" i="22"/>
  <c r="Q63" i="22"/>
  <c r="Q33" i="22"/>
  <c r="Q19" i="22"/>
  <c r="Q14" i="22"/>
  <c r="Q46" i="22" l="1"/>
  <c r="Q95" i="22" s="1"/>
  <c r="Q91" i="22"/>
  <c r="Q93" i="22" s="1"/>
  <c r="Q99" i="22"/>
  <c r="Q100" i="22"/>
  <c r="Q98" i="22" s="1"/>
  <c r="Q61" i="22"/>
  <c r="Q58" i="22" s="1"/>
  <c r="Q84" i="22"/>
  <c r="Q97" i="22" l="1"/>
  <c r="Q102" i="22" s="1"/>
  <c r="Q65" i="22"/>
  <c r="J19" i="22"/>
  <c r="G19" i="22"/>
  <c r="F19" i="22" s="1"/>
  <c r="J88" i="22"/>
  <c r="J87" i="22" s="1"/>
  <c r="G88" i="22"/>
  <c r="E88" i="22"/>
  <c r="E87" i="22" s="1"/>
  <c r="J60" i="22"/>
  <c r="L60" i="22" s="1"/>
  <c r="E60" i="22"/>
  <c r="E62" i="22"/>
  <c r="J52" i="22"/>
  <c r="M52" i="22" s="1"/>
  <c r="G52" i="22"/>
  <c r="F52" i="22" s="1"/>
  <c r="S52" i="22" s="1"/>
  <c r="E52" i="22"/>
  <c r="E63" i="22" s="1"/>
  <c r="E33" i="22"/>
  <c r="E19" i="22"/>
  <c r="E14" i="22"/>
  <c r="E9" i="22"/>
  <c r="G87" i="22" l="1"/>
  <c r="F87" i="22" s="1"/>
  <c r="F88" i="22"/>
  <c r="M63" i="22"/>
  <c r="M100" i="22" s="1"/>
  <c r="M98" i="22" s="1"/>
  <c r="J63" i="22"/>
  <c r="R51" i="22"/>
  <c r="G63" i="22"/>
  <c r="F63" i="22" s="1"/>
  <c r="G99" i="22"/>
  <c r="F99" i="22" s="1"/>
  <c r="K51" i="22"/>
  <c r="N51" i="22"/>
  <c r="J99" i="22"/>
  <c r="E46" i="22"/>
  <c r="M61" i="22" l="1"/>
  <c r="M58" i="22" s="1"/>
  <c r="M97" i="22" s="1"/>
  <c r="D52" i="22"/>
  <c r="D63" i="22" s="1"/>
  <c r="P52" i="22" l="1"/>
  <c r="E61" i="22"/>
  <c r="E58" i="22" s="1"/>
  <c r="E65" i="22" s="1"/>
  <c r="D19" i="22"/>
  <c r="M19" i="22" s="1"/>
  <c r="J61" i="22" l="1"/>
  <c r="J58" i="22" s="1"/>
  <c r="J97" i="22" s="1"/>
  <c r="J100" i="22"/>
  <c r="J98" i="22" s="1"/>
  <c r="G61" i="22"/>
  <c r="G100" i="22"/>
  <c r="G98" i="22" l="1"/>
  <c r="F98" i="22" s="1"/>
  <c r="F100" i="22"/>
  <c r="G58" i="22"/>
  <c r="F61" i="22"/>
  <c r="U91" i="22"/>
  <c r="T19" i="22"/>
  <c r="T15" i="22"/>
  <c r="G97" i="22" l="1"/>
  <c r="F97" i="22" s="1"/>
  <c r="F58" i="22"/>
  <c r="D88" i="22"/>
  <c r="D87" i="22" s="1"/>
  <c r="P85" i="22"/>
  <c r="P81" i="22"/>
  <c r="P77" i="22"/>
  <c r="J76" i="22"/>
  <c r="G76" i="22"/>
  <c r="F76" i="22" s="1"/>
  <c r="D76" i="22"/>
  <c r="P73" i="22"/>
  <c r="A74" i="22"/>
  <c r="A75" i="22" s="1"/>
  <c r="A76" i="22" s="1"/>
  <c r="S69" i="22"/>
  <c r="J67" i="22"/>
  <c r="J82" i="22" s="1"/>
  <c r="G67" i="22"/>
  <c r="F67" i="22" s="1"/>
  <c r="D67" i="22"/>
  <c r="D82" i="22" s="1"/>
  <c r="D60" i="22"/>
  <c r="U52" i="22"/>
  <c r="A49" i="22"/>
  <c r="A50" i="22" s="1"/>
  <c r="A51" i="22" s="1"/>
  <c r="P45" i="22"/>
  <c r="P44" i="22"/>
  <c r="P43" i="22"/>
  <c r="P42" i="22"/>
  <c r="A39" i="22"/>
  <c r="A40" i="22" s="1"/>
  <c r="A41" i="22" s="1"/>
  <c r="A42" i="22" s="1"/>
  <c r="A43" i="22" s="1"/>
  <c r="A44" i="22" s="1"/>
  <c r="A45" i="22" s="1"/>
  <c r="P37" i="22"/>
  <c r="P35" i="22"/>
  <c r="J33" i="22"/>
  <c r="G33" i="22"/>
  <c r="P30" i="22"/>
  <c r="P29" i="22"/>
  <c r="P27" i="22"/>
  <c r="P26" i="22"/>
  <c r="A26" i="22"/>
  <c r="A27" i="22" s="1"/>
  <c r="A28" i="22" s="1"/>
  <c r="A29" i="22" s="1"/>
  <c r="A30" i="22" s="1"/>
  <c r="A31" i="22" s="1"/>
  <c r="A32" i="22" s="1"/>
  <c r="A33" i="22" s="1"/>
  <c r="P23" i="22"/>
  <c r="P21" i="22"/>
  <c r="P19" i="22"/>
  <c r="P17" i="22"/>
  <c r="P16" i="22"/>
  <c r="P15" i="22"/>
  <c r="J14" i="22"/>
  <c r="G14" i="22"/>
  <c r="F14" i="22" s="1"/>
  <c r="D14" i="22"/>
  <c r="M14" i="22" s="1"/>
  <c r="P12" i="22"/>
  <c r="P11" i="22"/>
  <c r="V8" i="22"/>
  <c r="W8" i="22" s="1"/>
  <c r="A8" i="22"/>
  <c r="W7" i="22"/>
  <c r="V7" i="22"/>
  <c r="P7" i="22"/>
  <c r="C5" i="22"/>
  <c r="D5" i="22" s="1"/>
  <c r="E5" i="22" s="1"/>
  <c r="G5" i="22" s="1"/>
  <c r="M114" i="22" l="1"/>
  <c r="D84" i="22"/>
  <c r="K5" i="22"/>
  <c r="H5" i="22"/>
  <c r="I5" i="22" s="1"/>
  <c r="F33" i="22"/>
  <c r="P33" i="22" s="1"/>
  <c r="J46" i="22"/>
  <c r="P60" i="22"/>
  <c r="L28" i="22"/>
  <c r="P28" i="22"/>
  <c r="S34" i="22"/>
  <c r="T34" i="22" s="1"/>
  <c r="P34" i="22"/>
  <c r="L39" i="22"/>
  <c r="P39" i="22"/>
  <c r="P76" i="22"/>
  <c r="S8" i="22"/>
  <c r="P8" i="22"/>
  <c r="L24" i="22"/>
  <c r="P24" i="22"/>
  <c r="R40" i="22"/>
  <c r="P40" i="22"/>
  <c r="R53" i="22"/>
  <c r="P53" i="22"/>
  <c r="K71" i="22"/>
  <c r="P71" i="22"/>
  <c r="P14" i="22"/>
  <c r="G46" i="22"/>
  <c r="F46" i="22" s="1"/>
  <c r="K38" i="22"/>
  <c r="P38" i="22"/>
  <c r="L49" i="22"/>
  <c r="P49" i="22"/>
  <c r="R68" i="22"/>
  <c r="P68" i="22"/>
  <c r="K79" i="22"/>
  <c r="P79" i="22"/>
  <c r="S22" i="22"/>
  <c r="T22" i="22" s="1"/>
  <c r="P22" i="22"/>
  <c r="L13" i="22"/>
  <c r="P13" i="22"/>
  <c r="L36" i="22"/>
  <c r="P36" i="22"/>
  <c r="R41" i="22"/>
  <c r="P41" i="22"/>
  <c r="L47" i="22"/>
  <c r="P47" i="22"/>
  <c r="K54" i="22"/>
  <c r="P54" i="22"/>
  <c r="K50" i="22"/>
  <c r="P50" i="22"/>
  <c r="K80" i="22"/>
  <c r="P80" i="22"/>
  <c r="D46" i="22"/>
  <c r="M112" i="22" s="1"/>
  <c r="M46" i="22"/>
  <c r="L25" i="22"/>
  <c r="P25" i="22"/>
  <c r="S31" i="22"/>
  <c r="P31" i="22"/>
  <c r="K48" i="22"/>
  <c r="R55" i="22"/>
  <c r="P55" i="22"/>
  <c r="K74" i="22"/>
  <c r="P74" i="22"/>
  <c r="D99" i="22"/>
  <c r="N71" i="22"/>
  <c r="J91" i="22"/>
  <c r="J93" i="22" s="1"/>
  <c r="N7" i="22"/>
  <c r="K7" i="22"/>
  <c r="L5" i="22"/>
  <c r="M5" i="22" s="1"/>
  <c r="N5" i="22" s="1"/>
  <c r="O5" i="22" s="1"/>
  <c r="Q5" i="22" s="1"/>
  <c r="R5" i="22" s="1"/>
  <c r="S5" i="22" s="1"/>
  <c r="O85" i="22"/>
  <c r="K9" i="22"/>
  <c r="O77" i="22"/>
  <c r="N38" i="22"/>
  <c r="K69" i="22"/>
  <c r="N69" i="22"/>
  <c r="R69" i="22"/>
  <c r="N79" i="22"/>
  <c r="N81" i="22"/>
  <c r="L22" i="22"/>
  <c r="S71" i="22"/>
  <c r="O23" i="22"/>
  <c r="O44" i="22"/>
  <c r="S47" i="22"/>
  <c r="O7" i="22"/>
  <c r="R22" i="22"/>
  <c r="V24" i="22"/>
  <c r="O31" i="22"/>
  <c r="N13" i="22"/>
  <c r="N22" i="22"/>
  <c r="L23" i="22"/>
  <c r="S68" i="22"/>
  <c r="L71" i="22"/>
  <c r="K22" i="22"/>
  <c r="N25" i="22"/>
  <c r="N28" i="22"/>
  <c r="R71" i="22"/>
  <c r="N48" i="22"/>
  <c r="K53" i="22"/>
  <c r="S38" i="22"/>
  <c r="O41" i="22"/>
  <c r="R49" i="22"/>
  <c r="L53" i="22"/>
  <c r="K13" i="22"/>
  <c r="N29" i="22"/>
  <c r="N53" i="22"/>
  <c r="R13" i="22"/>
  <c r="S24" i="22"/>
  <c r="O27" i="22"/>
  <c r="O36" i="22"/>
  <c r="L38" i="22"/>
  <c r="K26" i="22"/>
  <c r="S26" i="22"/>
  <c r="K35" i="22"/>
  <c r="N37" i="22"/>
  <c r="K40" i="22"/>
  <c r="S49" i="22"/>
  <c r="N12" i="22"/>
  <c r="N33" i="22"/>
  <c r="K34" i="22"/>
  <c r="K24" i="22"/>
  <c r="L34" i="22"/>
  <c r="K42" i="22"/>
  <c r="O53" i="22"/>
  <c r="N54" i="22"/>
  <c r="U15" i="22"/>
  <c r="N26" i="22"/>
  <c r="O29" i="22"/>
  <c r="O34" i="22"/>
  <c r="N35" i="22"/>
  <c r="S39" i="22"/>
  <c r="T39" i="22" s="1"/>
  <c r="O42" i="22"/>
  <c r="N49" i="22"/>
  <c r="O54" i="22"/>
  <c r="E67" i="22"/>
  <c r="E82" i="22" s="1"/>
  <c r="K77" i="22"/>
  <c r="O79" i="22"/>
  <c r="N80" i="22"/>
  <c r="K49" i="22"/>
  <c r="R39" i="22"/>
  <c r="O45" i="22"/>
  <c r="O20" i="22"/>
  <c r="U19" i="22"/>
  <c r="O24" i="22"/>
  <c r="O26" i="22"/>
  <c r="N31" i="22"/>
  <c r="O35" i="22"/>
  <c r="N40" i="22"/>
  <c r="O49" i="22"/>
  <c r="R79" i="22"/>
  <c r="R35" i="22"/>
  <c r="R26" i="22"/>
  <c r="S35" i="22"/>
  <c r="T35" i="22" s="1"/>
  <c r="K39" i="22"/>
  <c r="N17" i="22"/>
  <c r="O21" i="22"/>
  <c r="L26" i="22"/>
  <c r="L35" i="22"/>
  <c r="R77" i="22"/>
  <c r="K81" i="22"/>
  <c r="N11" i="22"/>
  <c r="O11" i="22"/>
  <c r="X46" i="22"/>
  <c r="K14" i="22"/>
  <c r="O14" i="22"/>
  <c r="N14" i="22"/>
  <c r="S14" i="22"/>
  <c r="R14" i="22"/>
  <c r="L14" i="22"/>
  <c r="N39" i="22"/>
  <c r="O39" i="22"/>
  <c r="O16" i="22"/>
  <c r="N16" i="22"/>
  <c r="S33" i="22"/>
  <c r="L33" i="22"/>
  <c r="K33" i="22"/>
  <c r="R33" i="22"/>
  <c r="S76" i="22"/>
  <c r="L76" i="22"/>
  <c r="K76" i="22"/>
  <c r="R76" i="22"/>
  <c r="O43" i="22"/>
  <c r="K19" i="22"/>
  <c r="R19" i="22"/>
  <c r="L19" i="22"/>
  <c r="S19" i="22"/>
  <c r="N15" i="22"/>
  <c r="O15" i="22"/>
  <c r="U46" i="22"/>
  <c r="V44" i="22"/>
  <c r="S30" i="22"/>
  <c r="R12" i="22"/>
  <c r="R17" i="22"/>
  <c r="R7" i="22"/>
  <c r="L12" i="22"/>
  <c r="S12" i="22"/>
  <c r="S29" i="22"/>
  <c r="T29" i="22" s="1"/>
  <c r="N36" i="22"/>
  <c r="S7" i="22"/>
  <c r="K8" i="22"/>
  <c r="R8" i="22"/>
  <c r="K11" i="22"/>
  <c r="R11" i="22"/>
  <c r="O13" i="22"/>
  <c r="R15" i="22"/>
  <c r="K16" i="22"/>
  <c r="R21" i="22"/>
  <c r="V22" i="22"/>
  <c r="L29" i="22"/>
  <c r="N30" i="22"/>
  <c r="K31" i="22"/>
  <c r="L37" i="22"/>
  <c r="K41" i="22"/>
  <c r="N44" i="22"/>
  <c r="R44" i="22"/>
  <c r="K45" i="22"/>
  <c r="N55" i="22"/>
  <c r="O55" i="22"/>
  <c r="K55" i="22"/>
  <c r="N75" i="22"/>
  <c r="K75" i="22"/>
  <c r="R75" i="22"/>
  <c r="O12" i="22"/>
  <c r="O17" i="22"/>
  <c r="L21" i="22"/>
  <c r="O22" i="22"/>
  <c r="N24" i="22"/>
  <c r="R24" i="22"/>
  <c r="R27" i="22"/>
  <c r="K27" i="22"/>
  <c r="R36" i="22"/>
  <c r="K36" i="22"/>
  <c r="S36" i="22"/>
  <c r="O37" i="22"/>
  <c r="N41" i="22"/>
  <c r="N45" i="22"/>
  <c r="N50" i="22"/>
  <c r="O71" i="22"/>
  <c r="R30" i="22"/>
  <c r="K30" i="22"/>
  <c r="K12" i="22"/>
  <c r="S20" i="22"/>
  <c r="L20" i="22"/>
  <c r="K28" i="22"/>
  <c r="L30" i="22"/>
  <c r="R37" i="22"/>
  <c r="N42" i="22"/>
  <c r="S43" i="22"/>
  <c r="L43" i="22"/>
  <c r="R43" i="22"/>
  <c r="O47" i="22"/>
  <c r="R50" i="22"/>
  <c r="P62" i="22"/>
  <c r="R78" i="22"/>
  <c r="N78" i="22"/>
  <c r="K78" i="22"/>
  <c r="N23" i="22"/>
  <c r="S17" i="22"/>
  <c r="K20" i="22"/>
  <c r="P56" i="22"/>
  <c r="N60" i="22"/>
  <c r="R60" i="22"/>
  <c r="K60" i="22"/>
  <c r="R28" i="22"/>
  <c r="K17" i="22"/>
  <c r="L17" i="22"/>
  <c r="N19" i="22"/>
  <c r="N27" i="22"/>
  <c r="S37" i="22"/>
  <c r="K43" i="22"/>
  <c r="L7" i="22"/>
  <c r="R16" i="22"/>
  <c r="R20" i="22"/>
  <c r="R29" i="22"/>
  <c r="K29" i="22"/>
  <c r="K37" i="22"/>
  <c r="R45" i="22"/>
  <c r="O50" i="22"/>
  <c r="L50" i="22"/>
  <c r="K15" i="22"/>
  <c r="O25" i="22"/>
  <c r="R25" i="22"/>
  <c r="R31" i="22"/>
  <c r="N68" i="22"/>
  <c r="K68" i="22"/>
  <c r="L68" i="22"/>
  <c r="D91" i="22"/>
  <c r="D93" i="22" s="1"/>
  <c r="L8" i="22"/>
  <c r="N20" i="22"/>
  <c r="K21" i="22"/>
  <c r="S21" i="22"/>
  <c r="R23" i="22"/>
  <c r="K23" i="22"/>
  <c r="S23" i="22"/>
  <c r="K25" i="22"/>
  <c r="T25" i="22"/>
  <c r="O28" i="22"/>
  <c r="O30" i="22"/>
  <c r="L31" i="22"/>
  <c r="R34" i="22"/>
  <c r="O38" i="22"/>
  <c r="R38" i="22"/>
  <c r="S42" i="22"/>
  <c r="L42" i="22"/>
  <c r="R42" i="22"/>
  <c r="N43" i="22"/>
  <c r="K44" i="22"/>
  <c r="N47" i="22"/>
  <c r="R47" i="22"/>
  <c r="K47" i="22"/>
  <c r="R48" i="22"/>
  <c r="L55" i="22"/>
  <c r="O68" i="22"/>
  <c r="R73" i="22"/>
  <c r="K73" i="22"/>
  <c r="N73" i="22"/>
  <c r="O73" i="22"/>
  <c r="S78" i="22"/>
  <c r="O76" i="22"/>
  <c r="N77" i="22"/>
  <c r="S80" i="22"/>
  <c r="L80" i="22"/>
  <c r="O80" i="22"/>
  <c r="R80" i="22"/>
  <c r="G82" i="22"/>
  <c r="P67" i="22"/>
  <c r="E76" i="22"/>
  <c r="L54" i="22"/>
  <c r="R54" i="22"/>
  <c r="P88" i="22"/>
  <c r="E99" i="22"/>
  <c r="J84" i="22"/>
  <c r="L74" i="22"/>
  <c r="R74" i="22"/>
  <c r="N85" i="22"/>
  <c r="R85" i="22"/>
  <c r="K85" i="22"/>
  <c r="S81" i="22"/>
  <c r="L81" i="22"/>
  <c r="O81" i="22"/>
  <c r="R81" i="22"/>
  <c r="D95" i="22" l="1"/>
  <c r="G91" i="22"/>
  <c r="F82" i="22"/>
  <c r="M95" i="22"/>
  <c r="M65" i="22"/>
  <c r="P46" i="22"/>
  <c r="G65" i="22"/>
  <c r="F65" i="22" s="1"/>
  <c r="S9" i="22"/>
  <c r="N9" i="22"/>
  <c r="R9" i="22"/>
  <c r="G95" i="22"/>
  <c r="L9" i="22"/>
  <c r="J65" i="22"/>
  <c r="J95" i="22"/>
  <c r="J102" i="22" s="1"/>
  <c r="J112" i="22" s="1"/>
  <c r="N21" i="22"/>
  <c r="O33" i="22"/>
  <c r="N34" i="22"/>
  <c r="K88" i="22"/>
  <c r="N88" i="22"/>
  <c r="R88" i="22"/>
  <c r="O88" i="22"/>
  <c r="D100" i="22"/>
  <c r="D98" i="22" s="1"/>
  <c r="D61" i="22"/>
  <c r="D58" i="22" s="1"/>
  <c r="O56" i="22"/>
  <c r="K56" i="22"/>
  <c r="N56" i="22"/>
  <c r="L56" i="22"/>
  <c r="R56" i="22"/>
  <c r="O19" i="22"/>
  <c r="O9" i="22"/>
  <c r="N76" i="22"/>
  <c r="U65" i="22"/>
  <c r="L52" i="22"/>
  <c r="O52" i="22"/>
  <c r="R52" i="22"/>
  <c r="K52" i="22"/>
  <c r="N52" i="22"/>
  <c r="O62" i="22"/>
  <c r="N62" i="22"/>
  <c r="L62" i="22"/>
  <c r="K62" i="22"/>
  <c r="R62" i="22"/>
  <c r="S62" i="22"/>
  <c r="R46" i="22"/>
  <c r="K46" i="22"/>
  <c r="U44" i="22"/>
  <c r="W44" i="22" s="1"/>
  <c r="S46" i="22"/>
  <c r="L46" i="22"/>
  <c r="U102" i="22"/>
  <c r="E84" i="22"/>
  <c r="P99" i="22"/>
  <c r="N8" i="22"/>
  <c r="O8" i="22"/>
  <c r="N46" i="22"/>
  <c r="R67" i="22"/>
  <c r="L67" i="22"/>
  <c r="O67" i="22"/>
  <c r="S67" i="22"/>
  <c r="K67" i="22"/>
  <c r="N67" i="22"/>
  <c r="G84" i="22"/>
  <c r="N89" i="22"/>
  <c r="N74" i="22"/>
  <c r="O74" i="22"/>
  <c r="F84" i="22" l="1"/>
  <c r="G102" i="22"/>
  <c r="F102" i="22" s="1"/>
  <c r="F95" i="22"/>
  <c r="G93" i="22"/>
  <c r="F93" i="22" s="1"/>
  <c r="F91" i="22"/>
  <c r="L82" i="22"/>
  <c r="P82" i="22"/>
  <c r="M102" i="22"/>
  <c r="L87" i="22"/>
  <c r="P87" i="22"/>
  <c r="P100" i="22"/>
  <c r="M116" i="22"/>
  <c r="M117" i="22" s="1"/>
  <c r="M115" i="22"/>
  <c r="R89" i="22"/>
  <c r="K89" i="22"/>
  <c r="N99" i="22"/>
  <c r="K99" i="22"/>
  <c r="O99" i="22"/>
  <c r="S99" i="22"/>
  <c r="R99" i="22"/>
  <c r="L99" i="22"/>
  <c r="D97" i="22"/>
  <c r="D102" i="22" s="1"/>
  <c r="D112" i="22" s="1"/>
  <c r="D65" i="22"/>
  <c r="M113" i="22"/>
  <c r="E95" i="22"/>
  <c r="K87" i="22"/>
  <c r="N87" i="22"/>
  <c r="O87" i="22"/>
  <c r="R87" i="22"/>
  <c r="S82" i="22"/>
  <c r="K82" i="22"/>
  <c r="N82" i="22"/>
  <c r="R82" i="22"/>
  <c r="O82" i="22"/>
  <c r="P63" i="22"/>
  <c r="O46" i="22"/>
  <c r="X65" i="22"/>
  <c r="L84" i="22" l="1"/>
  <c r="P84" i="22"/>
  <c r="K95" i="22"/>
  <c r="P95" i="22"/>
  <c r="R95" i="22"/>
  <c r="S95" i="22"/>
  <c r="L95" i="22"/>
  <c r="O95" i="22"/>
  <c r="N95" i="22"/>
  <c r="S84" i="22"/>
  <c r="N84" i="22"/>
  <c r="O84" i="22"/>
  <c r="R84" i="22"/>
  <c r="K84" i="22"/>
  <c r="E100" i="22"/>
  <c r="E98" i="22" s="1"/>
  <c r="N100" i="22"/>
  <c r="K100" i="22"/>
  <c r="R100" i="22"/>
  <c r="S100" i="22"/>
  <c r="L100" i="22"/>
  <c r="O100" i="22"/>
  <c r="P61" i="22"/>
  <c r="O63" i="22"/>
  <c r="R63" i="22"/>
  <c r="K63" i="22"/>
  <c r="N63" i="22"/>
  <c r="S63" i="22"/>
  <c r="L63" i="22"/>
  <c r="P91" i="22"/>
  <c r="P93" i="22"/>
  <c r="P98" i="22"/>
  <c r="S93" i="22" l="1"/>
  <c r="O93" i="22"/>
  <c r="L93" i="22"/>
  <c r="K93" i="22"/>
  <c r="N93" i="22"/>
  <c r="R93" i="22"/>
  <c r="P97" i="22"/>
  <c r="P58" i="22"/>
  <c r="O61" i="22"/>
  <c r="S61" i="22"/>
  <c r="L61" i="22"/>
  <c r="R61" i="22"/>
  <c r="N61" i="22"/>
  <c r="K61" i="22"/>
  <c r="E97" i="22"/>
  <c r="E102" i="22" s="1"/>
  <c r="E112" i="22" s="1"/>
  <c r="E91" i="22"/>
  <c r="E93" i="22" s="1"/>
  <c r="S91" i="22"/>
  <c r="L91" i="22"/>
  <c r="N91" i="22"/>
  <c r="R91" i="22"/>
  <c r="K91" i="22"/>
  <c r="O91" i="22"/>
  <c r="N98" i="22"/>
  <c r="K98" i="22"/>
  <c r="S98" i="22"/>
  <c r="L98" i="22"/>
  <c r="O98" i="22"/>
  <c r="R98" i="22"/>
  <c r="L58" i="22" l="1"/>
  <c r="R58" i="22"/>
  <c r="S58" i="22"/>
  <c r="N58" i="22"/>
  <c r="O58" i="22"/>
  <c r="K58" i="22"/>
  <c r="P65" i="22"/>
  <c r="N97" i="22"/>
  <c r="K97" i="22"/>
  <c r="R97" i="22"/>
  <c r="L97" i="22"/>
  <c r="O97" i="22"/>
  <c r="S97" i="22"/>
  <c r="P102" i="22" l="1"/>
  <c r="N102" i="22"/>
  <c r="K102" i="22"/>
  <c r="R102" i="22"/>
  <c r="F112" i="22"/>
  <c r="S102" i="22"/>
  <c r="O102" i="22"/>
  <c r="L102" i="22"/>
  <c r="N65" i="22"/>
  <c r="L65" i="22"/>
  <c r="O65" i="22"/>
  <c r="S65" i="22"/>
  <c r="R65" i="22"/>
  <c r="K65" i="22"/>
</calcChain>
</file>

<file path=xl/sharedStrings.xml><?xml version="1.0" encoding="utf-8"?>
<sst xmlns="http://schemas.openxmlformats.org/spreadsheetml/2006/main" count="203" uniqueCount="186">
  <si>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</si>
  <si>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</si>
  <si>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</si>
  <si>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</si>
  <si>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</si>
  <si>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</si>
  <si>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</si>
  <si>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</si>
  <si>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</si>
  <si>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</si>
  <si>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</si>
  <si>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</si>
  <si>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</si>
  <si>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</si>
  <si>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</si>
  <si>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</si>
  <si>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</si>
  <si>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</si>
  <si>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</si>
  <si>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</si>
  <si>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</si>
  <si>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</si>
  <si>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</si>
  <si>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</si>
  <si>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</si>
  <si>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</si>
  <si>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</si>
  <si>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</si>
  <si>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</si>
  <si>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</si>
  <si>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</si>
  <si>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</si>
  <si>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</si>
  <si>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</si>
  <si>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</si>
  <si>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</si>
  <si>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</si>
  <si>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</si>
  <si>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</si>
  <si>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</si>
  <si>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</si>
  <si>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</si>
  <si>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</si>
  <si>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</si>
  <si>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</si>
  <si>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</si>
  <si>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</si>
  <si>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</si>
  <si>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</si>
  <si>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</si>
  <si>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</si>
  <si>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</si>
  <si>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</si>
  <si>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</si>
  <si>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</si>
  <si>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</si>
  <si>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</si>
  <si>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</si>
  <si>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</si>
  <si>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</si>
  <si>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</si>
  <si>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</si>
  <si>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</si>
  <si>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</si>
  <si>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ВСЬОГО ДОХОДІВ СПЕЦІАЛЬНОГО ФОНДУ 
(без власних надходжень бюджетних установ ККД 25000000)</t>
  </si>
  <si>
    <t>Всього власних та закріплених доходів 
(без власних надходжень бюджетних установ ККД 25000000)</t>
  </si>
  <si>
    <t>Податок та збір на доходи фізичних осіб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</si>
  <si>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</si>
  <si>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24110900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</si>
  <si>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</si>
  <si>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</si>
  <si>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</si>
  <si>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</si>
  <si>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</si>
  <si>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</si>
  <si>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</si>
  <si>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</si>
  <si>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</si>
  <si>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</si>
  <si>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</si>
  <si>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</si>
  <si>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</si>
  <si>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</si>
  <si>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</si>
  <si>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</si>
  <si>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</si>
  <si>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</si>
  <si>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14021900</t>
  </si>
  <si>
    <t>14031900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</si>
  <si>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</si>
  <si>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</si>
  <si>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</si>
  <si>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</si>
  <si>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Начальник відділу доходів бюджету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</si>
  <si>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</si>
  <si>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</si>
  <si>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</si>
  <si>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</si>
  <si>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</si>
  <si>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</si>
  <si>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</si>
  <si>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</si>
  <si>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</si>
  <si>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</si>
  <si>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</si>
  <si>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</si>
  <si>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</si>
  <si>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</si>
  <si>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</si>
  <si>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</si>
  <si>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</si>
  <si>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</si>
  <si>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</si>
  <si>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</si>
  <si>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</si>
  <si>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</si>
  <si>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</si>
  <si>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</si>
  <si>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</si>
  <si>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</si>
  <si>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</si>
  <si>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</si>
  <si>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</si>
  <si>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</si>
  <si>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</si>
  <si>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4.3.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</si>
  <si>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</si>
  <si>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</si>
  <si>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r>
      <rPr>
        <b/>
        <u/>
        <sz val="15"/>
        <rFont val="Times New Roman"/>
        <family val="1"/>
        <charset val="204"/>
      </rPr>
      <t>Освітня субвенція з державного бюджету</t>
    </r>
    <r>
      <rPr>
        <sz val="15"/>
        <rFont val="Times New Roman"/>
        <family val="1"/>
        <charset val="204"/>
      </rPr>
      <t xml:space="preserve"> місцевим бюджетам</t>
    </r>
  </si>
  <si>
    <r>
      <rPr>
        <b/>
        <sz val="15"/>
        <rFont val="Times New Roman"/>
        <family val="1"/>
        <charset val="204"/>
      </rPr>
      <t>Дотація з місцевого бюджету</t>
    </r>
    <r>
      <rPr>
        <sz val="15"/>
        <rFont val="Times New Roman"/>
        <family val="1"/>
        <charset val="204"/>
      </rPr>
      <t xml:space="preserve">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  </r>
  </si>
  <si>
    <r>
      <rPr>
        <b/>
        <u/>
        <sz val="15"/>
        <rFont val="Times New Roman Cyr"/>
        <charset val="204"/>
      </rPr>
      <t xml:space="preserve">Інші субвенції </t>
    </r>
    <r>
      <rPr>
        <sz val="15"/>
        <rFont val="Times New Roman Cyr"/>
        <charset val="204"/>
      </rPr>
      <t>з місцевого бюджету</t>
    </r>
  </si>
  <si>
    <t>41055000</t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</si>
  <si>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здійснення переданих видатків у сфері освіти за рахунок коштів освітньої субвенції</t>
    </r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</si>
  <si>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надання державної підтримки особам з особливими освітніми потребами</t>
    </r>
    <r>
      <rPr>
        <sz val="15"/>
        <rFont val="Times New Roman"/>
        <family val="1"/>
        <charset val="204"/>
      </rPr>
      <t xml:space="preserve"> за рахунок відповідної субвенції з державного бюджету</t>
    </r>
  </si>
  <si>
    <r>
      <t xml:space="preserve">Субвенція з державного бюджету місцевим бюджетам </t>
    </r>
    <r>
      <rPr>
        <b/>
        <u/>
        <sz val="15"/>
        <rFont val="Times New Roman"/>
        <family val="1"/>
        <charset val="204"/>
      </rPr>
      <t>на реформуваннярегіональних систем охорони здоров’я для здійснення заходів з виконання спільного з Міжнародним банком реконструкції та розвитку</t>
    </r>
    <r>
      <rPr>
        <sz val="15"/>
        <rFont val="Times New Roman"/>
        <family val="1"/>
        <charset val="204"/>
      </rPr>
      <t xml:space="preserve"> проекту «Поліпшення охорони здоров’я на службі у людей»</t>
    </r>
  </si>
  <si>
    <t>6.1.</t>
  </si>
  <si>
    <t>6.2.</t>
  </si>
  <si>
    <t>6.3.</t>
  </si>
  <si>
    <t>6.4.</t>
  </si>
  <si>
    <t>Уточнений бюджет на 2021 рік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</si>
  <si>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</si>
  <si>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</si>
  <si>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</si>
  <si>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Плата за гарантії, надані Верховною Радою Автономної Республіки Крим, міськими та обласними радами</t>
  </si>
  <si>
    <t>ВСЬОГО ДОХОДІВ ЗАГАЛЬНОГО 
ТА СПЕЦІАЛЬНОГО ФОНДІВ</t>
  </si>
  <si>
    <r>
      <t xml:space="preserve">Субвенція з місцевого бюджету </t>
    </r>
    <r>
      <rPr>
        <b/>
        <u/>
        <sz val="15"/>
        <rFont val="Times New Roman Cyr"/>
        <charset val="204"/>
      </rPr>
      <t>на здійснення підтримки окремих закладів та заходів у системі охорони здоров'я</t>
    </r>
    <r>
      <rPr>
        <sz val="15"/>
        <rFont val="Times New Roman Cyr"/>
        <charset val="204"/>
      </rPr>
      <t xml:space="preserve"> за рахунок відповідної субвенції з державного бюджету</t>
    </r>
  </si>
  <si>
    <r>
      <t xml:space="preserve">* на відшкодування витрат </t>
    </r>
    <r>
      <rPr>
        <b/>
        <i/>
        <u/>
        <sz val="15"/>
        <rFont val="Times New Roman Cyr"/>
        <charset val="204"/>
      </rPr>
      <t>на поховання учасників бойових дій та осіб з інвалідністю внаслідок війни</t>
    </r>
  </si>
  <si>
    <r>
      <t xml:space="preserve">* на пільгове медичне обслуговування  громадян, які </t>
    </r>
    <r>
      <rPr>
        <b/>
        <i/>
        <u/>
        <sz val="15"/>
        <rFont val="Times New Roman Cyr"/>
        <charset val="204"/>
      </rPr>
      <t>постраждали внаслідок Чорнобильської катастрофи</t>
    </r>
  </si>
  <si>
    <r>
      <t>* на компенсаційні</t>
    </r>
    <r>
      <rPr>
        <b/>
        <i/>
        <u/>
        <sz val="15"/>
        <rFont val="Times New Roman Cyr"/>
        <charset val="204"/>
      </rPr>
      <t xml:space="preserve"> виплати особам з інвалідністю на бензин (пальне), ремонт, техобслуговування автотранспорту </t>
    </r>
    <r>
      <rPr>
        <i/>
        <sz val="15"/>
        <rFont val="Times New Roman Cyr"/>
        <charset val="204"/>
      </rPr>
      <t>та на транспортне обслуговування, встановлення телефонів особам з інвалідністю І та ІІ груп</t>
    </r>
  </si>
  <si>
    <r>
      <t xml:space="preserve">* для забезпечення витратними матеріалами (кардіовиробами) хворих області в </t>
    </r>
    <r>
      <rPr>
        <b/>
        <i/>
        <u/>
        <sz val="15"/>
        <rFont val="Times New Roman Cyr"/>
        <charset val="204"/>
      </rPr>
      <t>КНП "Вінницький регіональний клінічний лікувально-діагностичний центр серцево-судинної патології"</t>
    </r>
  </si>
  <si>
    <t>Бюджет 
на 2022 рік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</si>
  <si>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</si>
  <si>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</si>
  <si>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</si>
  <si>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</si>
  <si>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</si>
  <si>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</si>
  <si>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</si>
  <si>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Всього власних доходів</t>
  </si>
  <si>
    <t>лютий</t>
  </si>
  <si>
    <t xml:space="preserve">Місцеві податки, нараховані до 1 січня 2011 року   </t>
  </si>
  <si>
    <t>16012200</t>
  </si>
  <si>
    <t>12020900</t>
  </si>
  <si>
    <t>19050200</t>
  </si>
  <si>
    <t xml:space="preserve">Податок з власників наземних, водних транспортних засобів та інших самохідних машин і механізмів   </t>
  </si>
  <si>
    <t xml:space="preserve">Інші збори за забруднення навколишнього природного середовища до Фонду охорони навколишнього природного середовища   </t>
  </si>
  <si>
    <t>8.1.</t>
  </si>
  <si>
    <t>8.2.</t>
  </si>
  <si>
    <t>8.3.</t>
  </si>
  <si>
    <t>8.4.</t>
  </si>
  <si>
    <t>6.5.</t>
  </si>
  <si>
    <t>15.1.</t>
  </si>
  <si>
    <t>15.2.</t>
  </si>
  <si>
    <t>15.3.</t>
  </si>
  <si>
    <t>15.4.</t>
  </si>
  <si>
    <t>Надійшло за січень - березень 2022р.</t>
  </si>
  <si>
    <t>березень</t>
  </si>
  <si>
    <t>План на січень - березень 2022 року</t>
  </si>
  <si>
    <t>Відхилення надходжень до бюджету на січень - березень 2022 року</t>
  </si>
  <si>
    <t>План на січень - березень 2022р. (розрахунковий)</t>
  </si>
  <si>
    <t xml:space="preserve">Відхилення надходжень до бюджету на січень - березень 2022 року (розрахунковий) </t>
  </si>
  <si>
    <t>% виконання до плану на 2022р. (норма 25,0%)</t>
  </si>
  <si>
    <t>Надійшло за січень - березень 2021р.</t>
  </si>
  <si>
    <t>Відхилення факту січня - березня 2022р. від факту січня - березня 2021р.</t>
  </si>
  <si>
    <r>
      <t xml:space="preserve">*субвенція з обласного бюджету на компенсаційні виплати </t>
    </r>
    <r>
      <rPr>
        <b/>
        <i/>
        <u/>
        <sz val="14"/>
        <rFont val="Times New Roman Cyr"/>
        <charset val="204"/>
      </rPr>
      <t>за пільговий проїзд окремих категорій громадян на міжміських внутрішньообласних маршрутах</t>
    </r>
    <r>
      <rPr>
        <i/>
        <sz val="14"/>
        <rFont val="Times New Roman Cyr"/>
        <charset val="204"/>
      </rPr>
      <t xml:space="preserve"> загального користування</t>
    </r>
  </si>
  <si>
    <t>Аналіз виконання бюджету Вінницької міської територіальної громади за січень - березень 2022 року (за квартальним казначейським звітом)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</si>
</sst>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49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u/>
      <sz val="15"/>
      <name val="Times New Roman"/>
      <family val="1"/>
      <charset val="204"/>
    </font>
    <font>
      <b/>
      <i/>
      <u/>
      <sz val="15"/>
      <name val="Times New Roman Cyr"/>
      <charset val="204"/>
    </font>
    <font>
      <i/>
      <sz val="14"/>
      <name val="Times New Roman Cyr"/>
      <charset val="204"/>
    </font>
    <font>
      <b/>
      <u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b/>
      <i/>
      <u/>
      <sz val="14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5" fillId="0" borderId="0"/>
  </cellStyleXfs>
  <cellXfs count="185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49" fontId="14" fillId="0" borderId="1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27" fillId="0" borderId="0" xfId="1" applyFont="1" applyFill="1" applyBorder="1"/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left" vertical="center" wrapText="1"/>
    </xf>
    <xf numFmtId="0" fontId="28" fillId="0" borderId="1" xfId="1" applyFont="1" applyFill="1" applyBorder="1" applyAlignment="1">
      <alignment horizontal="center" vertical="center"/>
    </xf>
    <xf numFmtId="0" fontId="29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2" fillId="2" borderId="1" xfId="1" applyFont="1" applyFill="1" applyBorder="1" applyAlignment="1">
      <alignment horizontal="center" vertical="center"/>
    </xf>
    <xf numFmtId="2" fontId="33" fillId="2" borderId="1" xfId="1" applyNumberFormat="1" applyFont="1" applyFill="1" applyBorder="1" applyAlignment="1">
      <alignment horizontal="center" vertical="center" wrapText="1"/>
    </xf>
    <xf numFmtId="166" fontId="33" fillId="2" borderId="1" xfId="1" applyNumberFormat="1" applyFont="1" applyFill="1" applyBorder="1" applyAlignment="1">
      <alignment horizontal="center" vertical="center" wrapText="1"/>
    </xf>
    <xf numFmtId="0" fontId="32" fillId="2" borderId="0" xfId="1" applyFont="1" applyFill="1" applyBorder="1"/>
    <xf numFmtId="0" fontId="33" fillId="2" borderId="1" xfId="1" applyFont="1" applyFill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/>
    </xf>
    <xf numFmtId="49" fontId="33" fillId="2" borderId="1" xfId="1" applyNumberFormat="1" applyFont="1" applyFill="1" applyBorder="1" applyAlignment="1">
      <alignment horizontal="center" vertical="center" wrapText="1"/>
    </xf>
    <xf numFmtId="0" fontId="34" fillId="2" borderId="0" xfId="1" applyFont="1" applyFill="1" applyBorder="1"/>
    <xf numFmtId="0" fontId="32" fillId="0" borderId="1" xfId="1" applyFont="1" applyFill="1" applyBorder="1" applyAlignment="1">
      <alignment horizontal="center" vertical="center"/>
    </xf>
    <xf numFmtId="0" fontId="33" fillId="0" borderId="1" xfId="1" applyFont="1" applyFill="1" applyBorder="1" applyAlignment="1">
      <alignment horizontal="left" vertical="center" wrapText="1"/>
    </xf>
    <xf numFmtId="49" fontId="33" fillId="0" borderId="1" xfId="1" applyNumberFormat="1" applyFont="1" applyFill="1" applyBorder="1" applyAlignment="1">
      <alignment horizontal="center" vertical="center" wrapText="1"/>
    </xf>
    <xf numFmtId="166" fontId="33" fillId="0" borderId="1" xfId="1" applyNumberFormat="1" applyFont="1" applyFill="1" applyBorder="1" applyAlignment="1">
      <alignment horizontal="center" vertical="center" wrapText="1"/>
    </xf>
    <xf numFmtId="0" fontId="32" fillId="0" borderId="0" xfId="1" applyFont="1" applyFill="1" applyBorder="1"/>
    <xf numFmtId="0" fontId="33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8" fillId="0" borderId="0" xfId="1" applyFont="1" applyFill="1" applyBorder="1"/>
    <xf numFmtId="0" fontId="34" fillId="0" borderId="1" xfId="1" applyFont="1" applyFill="1" applyBorder="1" applyAlignment="1">
      <alignment horizontal="center" vertical="center"/>
    </xf>
    <xf numFmtId="0" fontId="34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8" fillId="0" borderId="1" xfId="3" applyFont="1" applyFill="1" applyBorder="1" applyAlignment="1">
      <alignment horizontal="center" vertical="center"/>
    </xf>
    <xf numFmtId="166" fontId="29" fillId="0" borderId="0" xfId="3" applyNumberFormat="1" applyFont="1" applyFill="1" applyBorder="1"/>
    <xf numFmtId="164" fontId="29" fillId="0" borderId="0" xfId="3" applyNumberFormat="1" applyFont="1" applyFill="1" applyBorder="1"/>
    <xf numFmtId="0" fontId="29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0" fontId="32" fillId="2" borderId="1" xfId="3" applyFont="1" applyFill="1" applyBorder="1" applyAlignment="1">
      <alignment horizontal="center" vertical="center"/>
    </xf>
    <xf numFmtId="0" fontId="33" fillId="2" borderId="1" xfId="3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/>
    </xf>
    <xf numFmtId="164" fontId="33" fillId="2" borderId="1" xfId="3" applyNumberFormat="1" applyFont="1" applyFill="1" applyBorder="1" applyAlignment="1">
      <alignment horizontal="center" vertical="center"/>
    </xf>
    <xf numFmtId="0" fontId="32" fillId="2" borderId="0" xfId="3" applyFont="1" applyFill="1" applyBorder="1"/>
    <xf numFmtId="166" fontId="32" fillId="2" borderId="0" xfId="3" applyNumberFormat="1" applyFont="1" applyFill="1" applyBorder="1"/>
    <xf numFmtId="0" fontId="33" fillId="0" borderId="1" xfId="3" applyFont="1" applyFill="1" applyBorder="1" applyAlignment="1">
      <alignment horizontal="center" vertical="center" wrapText="1"/>
    </xf>
    <xf numFmtId="166" fontId="33" fillId="0" borderId="1" xfId="3" applyNumberFormat="1" applyFont="1" applyFill="1" applyBorder="1" applyAlignment="1">
      <alignment horizontal="center" vertical="center"/>
    </xf>
    <xf numFmtId="164" fontId="33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left" vertical="center" wrapText="1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 applyAlignment="1">
      <alignment horizontal="center"/>
    </xf>
    <xf numFmtId="49" fontId="36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8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center" vertical="center" wrapText="1"/>
    </xf>
    <xf numFmtId="166" fontId="31" fillId="0" borderId="0" xfId="1" applyNumberFormat="1" applyFont="1" applyFill="1" applyBorder="1" applyAlignment="1">
      <alignment horizontal="center" vertical="center" wrapText="1"/>
    </xf>
    <xf numFmtId="166" fontId="2" fillId="0" borderId="0" xfId="2" applyNumberFormat="1" applyFont="1" applyFill="1" applyBorder="1"/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0" borderId="1" xfId="0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9" fillId="0" borderId="1" xfId="3" applyNumberFormat="1" applyFont="1" applyFill="1" applyBorder="1" applyAlignment="1">
      <alignment horizontal="center" vertical="center" wrapText="1"/>
    </xf>
    <xf numFmtId="166" fontId="39" fillId="0" borderId="1" xfId="0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38" fillId="0" borderId="1" xfId="1" applyNumberFormat="1" applyFont="1" applyFill="1" applyBorder="1" applyAlignment="1">
      <alignment horizontal="center" vertical="center" wrapText="1"/>
    </xf>
    <xf numFmtId="166" fontId="39" fillId="0" borderId="1" xfId="1" applyNumberFormat="1" applyFont="1" applyFill="1" applyBorder="1" applyAlignment="1">
      <alignment horizontal="center" vertical="center" wrapText="1"/>
    </xf>
    <xf numFmtId="49" fontId="37" fillId="0" borderId="1" xfId="1" applyNumberFormat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40" fillId="0" borderId="1" xfId="2" applyNumberFormat="1" applyFont="1" applyFill="1" applyBorder="1" applyAlignment="1">
      <alignment horizontal="left" vertical="center" wrapText="1"/>
    </xf>
    <xf numFmtId="0" fontId="40" fillId="0" borderId="1" xfId="2" applyNumberFormat="1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vertical="top" wrapText="1"/>
    </xf>
    <xf numFmtId="166" fontId="18" fillId="0" borderId="0" xfId="2" applyNumberFormat="1" applyFont="1" applyFill="1"/>
    <xf numFmtId="166" fontId="33" fillId="0" borderId="0" xfId="1" applyNumberFormat="1" applyFont="1" applyFill="1" applyBorder="1" applyAlignment="1">
      <alignment horizontal="center" vertical="center" wrapText="1"/>
    </xf>
    <xf numFmtId="0" fontId="30" fillId="0" borderId="0" xfId="3" applyFont="1" applyFill="1" applyBorder="1"/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40" fillId="0" borderId="1" xfId="3" applyNumberFormat="1" applyFont="1" applyFill="1" applyBorder="1" applyAlignment="1">
      <alignment horizontal="left" vertical="center" wrapText="1" shrinkToFi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36" fillId="0" borderId="1" xfId="3" applyNumberFormat="1" applyFont="1" applyFill="1" applyBorder="1" applyAlignment="1">
      <alignment horizontal="justify" vertical="center" wrapText="1" shrinkToFit="1"/>
    </xf>
    <xf numFmtId="0" fontId="38" fillId="0" borderId="1" xfId="3" applyNumberFormat="1" applyFont="1" applyFill="1" applyBorder="1" applyAlignment="1">
      <alignment horizontal="center" vertical="center"/>
    </xf>
    <xf numFmtId="166" fontId="26" fillId="0" borderId="0" xfId="3" applyNumberFormat="1" applyFont="1" applyFill="1" applyBorder="1"/>
    <xf numFmtId="0" fontId="45" fillId="2" borderId="1" xfId="1" applyFont="1" applyFill="1" applyBorder="1" applyAlignment="1">
      <alignment horizontal="center" vertical="center"/>
    </xf>
    <xf numFmtId="0" fontId="46" fillId="2" borderId="1" xfId="1" applyFont="1" applyFill="1" applyBorder="1" applyAlignment="1">
      <alignment horizontal="center" vertical="center" wrapText="1"/>
    </xf>
    <xf numFmtId="165" fontId="46" fillId="2" borderId="1" xfId="1" applyNumberFormat="1" applyFont="1" applyFill="1" applyBorder="1" applyAlignment="1">
      <alignment horizontal="center" vertical="center" wrapText="1"/>
    </xf>
    <xf numFmtId="166" fontId="46" fillId="2" borderId="1" xfId="1" applyNumberFormat="1" applyFont="1" applyFill="1" applyBorder="1" applyAlignment="1">
      <alignment horizontal="center" vertical="center" wrapText="1"/>
    </xf>
    <xf numFmtId="166" fontId="46" fillId="2" borderId="1" xfId="3" applyNumberFormat="1" applyFont="1" applyFill="1" applyBorder="1" applyAlignment="1">
      <alignment horizontal="center" vertical="center"/>
    </xf>
    <xf numFmtId="164" fontId="46" fillId="2" borderId="1" xfId="3" applyNumberFormat="1" applyFont="1" applyFill="1" applyBorder="1" applyAlignment="1">
      <alignment horizontal="center" vertical="center"/>
    </xf>
    <xf numFmtId="166" fontId="45" fillId="2" borderId="0" xfId="1" applyNumberFormat="1" applyFont="1" applyFill="1" applyBorder="1"/>
    <xf numFmtId="0" fontId="45" fillId="2" borderId="0" xfId="1" applyFont="1" applyFill="1" applyBorder="1"/>
    <xf numFmtId="49" fontId="46" fillId="2" borderId="1" xfId="1" applyNumberFormat="1" applyFont="1" applyFill="1" applyBorder="1" applyAlignment="1">
      <alignment horizontal="center" vertical="center" wrapText="1"/>
    </xf>
    <xf numFmtId="0" fontId="45" fillId="0" borderId="1" xfId="1" applyFont="1" applyFill="1" applyBorder="1" applyAlignment="1">
      <alignment horizontal="center" vertical="center"/>
    </xf>
    <xf numFmtId="0" fontId="46" fillId="0" borderId="1" xfId="1" applyFont="1" applyFill="1" applyBorder="1" applyAlignment="1">
      <alignment horizontal="center" vertical="center" wrapText="1"/>
    </xf>
    <xf numFmtId="49" fontId="46" fillId="0" borderId="1" xfId="1" applyNumberFormat="1" applyFont="1" applyFill="1" applyBorder="1" applyAlignment="1">
      <alignment horizontal="center" vertical="center" wrapText="1"/>
    </xf>
    <xf numFmtId="166" fontId="46" fillId="0" borderId="1" xfId="1" applyNumberFormat="1" applyFont="1" applyFill="1" applyBorder="1" applyAlignment="1">
      <alignment horizontal="center" vertical="center" wrapText="1"/>
    </xf>
    <xf numFmtId="166" fontId="46" fillId="0" borderId="1" xfId="3" applyNumberFormat="1" applyFont="1" applyFill="1" applyBorder="1" applyAlignment="1">
      <alignment horizontal="center" vertical="center"/>
    </xf>
    <xf numFmtId="164" fontId="46" fillId="0" borderId="1" xfId="3" applyNumberFormat="1" applyFont="1" applyFill="1" applyBorder="1" applyAlignment="1">
      <alignment horizontal="center" vertical="center"/>
    </xf>
    <xf numFmtId="0" fontId="45" fillId="0" borderId="0" xfId="1" applyFont="1" applyFill="1" applyBorder="1"/>
    <xf numFmtId="0" fontId="45" fillId="2" borderId="1" xfId="1" applyFont="1" applyFill="1" applyBorder="1" applyAlignment="1">
      <alignment vertical="center"/>
    </xf>
    <xf numFmtId="49" fontId="32" fillId="0" borderId="1" xfId="1" applyNumberFormat="1" applyFont="1" applyFill="1" applyBorder="1" applyAlignment="1">
      <alignment horizontal="center" vertical="center"/>
    </xf>
    <xf numFmtId="49" fontId="47" fillId="0" borderId="1" xfId="1" applyNumberFormat="1" applyFont="1" applyFill="1" applyBorder="1" applyAlignment="1">
      <alignment horizontal="center" vertical="center"/>
    </xf>
    <xf numFmtId="49" fontId="39" fillId="0" borderId="1" xfId="1" applyNumberFormat="1" applyFont="1" applyFill="1" applyBorder="1" applyAlignment="1">
      <alignment horizontal="center" vertical="center" wrapText="1"/>
    </xf>
    <xf numFmtId="0" fontId="47" fillId="0" borderId="0" xfId="1" applyFont="1" applyFill="1" applyBorder="1"/>
    <xf numFmtId="49" fontId="40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30" fillId="0" borderId="0" xfId="0" applyFont="1" applyFill="1" applyBorder="1"/>
    <xf numFmtId="49" fontId="16" fillId="0" borderId="0" xfId="2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horizontal="center" vertical="center" wrapText="1"/>
    </xf>
    <xf numFmtId="49" fontId="20" fillId="0" borderId="1" xfId="3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textRotation="90" wrapText="1"/>
    </xf>
  </cellXfs>
  <cellStyles count="4">
    <cellStyle name="Звичайний 2" xfId="3"/>
    <cellStyle name="Обычный" xfId="0" builtinId="0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30"/>
  <sheetViews>
    <sheetView showGridLines="0" tabSelected="1" view="pageBreakPreview" zoomScale="60" zoomScaleNormal="75" workbookViewId="0">
      <pane xSplit="3" ySplit="6" topLeftCell="D13" activePane="bottomRight" state="frozen"/>
      <selection pane="topRight" activeCell="D1" sqref="D1"/>
      <selection pane="bottomLeft" activeCell="A7" sqref="A7"/>
      <selection pane="bottomRight" activeCell="B31" sqref="B31"/>
    </sheetView>
  </sheetViews>
  <sheetFormatPr defaultRowHeight="12.75" x14ac:dyDescent="0.2"/>
  <cols>
    <col min="1" max="1" width="12.28515625" style="20" customWidth="1"/>
    <col min="2" max="2" width="102.7109375" style="20" customWidth="1"/>
    <col min="3" max="3" width="16.140625" style="20" customWidth="1"/>
    <col min="4" max="4" width="23.5703125" style="20" customWidth="1"/>
    <col min="5" max="5" width="23.7109375" style="20" hidden="1" customWidth="1"/>
    <col min="6" max="6" width="23.140625" style="3" customWidth="1"/>
    <col min="7" max="9" width="21.28515625" style="3" hidden="1" customWidth="1"/>
    <col min="10" max="10" width="24" style="3" customWidth="1"/>
    <col min="11" max="11" width="22.5703125" style="1" customWidth="1"/>
    <col min="12" max="12" width="14.140625" style="1" bestFit="1" customWidth="1"/>
    <col min="13" max="13" width="23.85546875" style="1" hidden="1" customWidth="1"/>
    <col min="14" max="14" width="25.7109375" style="1" hidden="1" customWidth="1"/>
    <col min="15" max="15" width="14.7109375" style="1" hidden="1" customWidth="1"/>
    <col min="16" max="16" width="16.140625" style="1" customWidth="1"/>
    <col min="17" max="17" width="23.140625" style="3" customWidth="1"/>
    <col min="18" max="18" width="21.85546875" style="1" customWidth="1"/>
    <col min="19" max="19" width="14.7109375" style="3" bestFit="1" customWidth="1"/>
    <col min="20" max="20" width="24.140625" style="3" hidden="1" customWidth="1"/>
    <col min="21" max="21" width="19.140625" style="3" hidden="1" customWidth="1"/>
    <col min="22" max="22" width="15.85546875" style="3" hidden="1" customWidth="1"/>
    <col min="23" max="23" width="0" style="3" hidden="1" customWidth="1"/>
    <col min="24" max="24" width="24.140625" style="3" hidden="1" customWidth="1"/>
    <col min="25" max="25" width="0" style="3" hidden="1" customWidth="1"/>
    <col min="26" max="26" width="15.140625" style="3" bestFit="1" customWidth="1"/>
    <col min="27" max="16384" width="9.140625" style="3"/>
  </cols>
  <sheetData>
    <row r="1" spans="1:34" ht="30" customHeight="1" x14ac:dyDescent="0.2">
      <c r="A1" s="175" t="s">
        <v>185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</row>
    <row r="2" spans="1:34" ht="18.75" x14ac:dyDescent="0.3">
      <c r="A2" s="23" t="s">
        <v>47</v>
      </c>
      <c r="B2" s="18"/>
      <c r="C2" s="18"/>
      <c r="D2" s="101"/>
      <c r="E2" s="18"/>
      <c r="F2" s="101"/>
      <c r="G2" s="101"/>
      <c r="H2" s="101"/>
      <c r="I2" s="101"/>
      <c r="J2" s="101"/>
      <c r="Q2" s="101"/>
      <c r="R2" s="5" t="s">
        <v>13</v>
      </c>
      <c r="S2" s="5"/>
    </row>
    <row r="3" spans="1:34" s="68" customFormat="1" ht="15" customHeight="1" x14ac:dyDescent="0.25">
      <c r="A3" s="179" t="s">
        <v>0</v>
      </c>
      <c r="B3" s="178" t="s">
        <v>1</v>
      </c>
      <c r="C3" s="178" t="s">
        <v>2</v>
      </c>
      <c r="D3" s="177" t="s">
        <v>150</v>
      </c>
      <c r="E3" s="177" t="s">
        <v>139</v>
      </c>
      <c r="F3" s="177" t="s">
        <v>175</v>
      </c>
      <c r="G3" s="177" t="s">
        <v>62</v>
      </c>
      <c r="H3" s="177" t="s">
        <v>159</v>
      </c>
      <c r="I3" s="177" t="s">
        <v>176</v>
      </c>
      <c r="J3" s="177" t="s">
        <v>177</v>
      </c>
      <c r="K3" s="177" t="s">
        <v>178</v>
      </c>
      <c r="L3" s="177" t="s">
        <v>3</v>
      </c>
      <c r="M3" s="177" t="s">
        <v>179</v>
      </c>
      <c r="N3" s="177" t="s">
        <v>180</v>
      </c>
      <c r="O3" s="177" t="s">
        <v>3</v>
      </c>
      <c r="P3" s="184" t="s">
        <v>181</v>
      </c>
      <c r="Q3" s="177" t="s">
        <v>182</v>
      </c>
      <c r="R3" s="177" t="s">
        <v>183</v>
      </c>
      <c r="S3" s="177" t="s">
        <v>3</v>
      </c>
    </row>
    <row r="4" spans="1:34" s="68" customFormat="1" ht="79.5" customHeight="1" x14ac:dyDescent="0.25">
      <c r="A4" s="179"/>
      <c r="B4" s="178"/>
      <c r="C4" s="17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84"/>
      <c r="Q4" s="177"/>
      <c r="R4" s="177"/>
      <c r="S4" s="177"/>
    </row>
    <row r="5" spans="1:34" s="72" customFormat="1" ht="20.25" x14ac:dyDescent="0.2">
      <c r="A5" s="69" t="s">
        <v>4</v>
      </c>
      <c r="B5" s="70" t="s">
        <v>5</v>
      </c>
      <c r="C5" s="70">
        <f>B5+1</f>
        <v>3</v>
      </c>
      <c r="D5" s="70">
        <f>C5+1</f>
        <v>4</v>
      </c>
      <c r="E5" s="70">
        <f t="shared" ref="E5:S5" si="0">D5+1</f>
        <v>5</v>
      </c>
      <c r="F5" s="70">
        <v>5</v>
      </c>
      <c r="G5" s="70">
        <f t="shared" si="0"/>
        <v>6</v>
      </c>
      <c r="H5" s="70">
        <f t="shared" ref="H5" si="1">G5+1</f>
        <v>7</v>
      </c>
      <c r="I5" s="70">
        <f t="shared" ref="I5" si="2">H5+1</f>
        <v>8</v>
      </c>
      <c r="J5" s="70">
        <v>6</v>
      </c>
      <c r="K5" s="70">
        <f t="shared" ref="K5" si="3">J5+1</f>
        <v>7</v>
      </c>
      <c r="L5" s="70">
        <f t="shared" ref="L5" si="4">K5+1</f>
        <v>8</v>
      </c>
      <c r="M5" s="70">
        <f t="shared" ref="M5" si="5">L5+1</f>
        <v>9</v>
      </c>
      <c r="N5" s="70">
        <f t="shared" ref="N5" si="6">M5+1</f>
        <v>10</v>
      </c>
      <c r="O5" s="70">
        <f t="shared" ref="O5" si="7">N5+1</f>
        <v>11</v>
      </c>
      <c r="P5" s="70">
        <v>9</v>
      </c>
      <c r="Q5" s="70">
        <f t="shared" si="0"/>
        <v>10</v>
      </c>
      <c r="R5" s="70">
        <f t="shared" si="0"/>
        <v>11</v>
      </c>
      <c r="S5" s="70">
        <f t="shared" si="0"/>
        <v>12</v>
      </c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</row>
    <row r="6" spans="1:34" s="73" customFormat="1" ht="26.25" customHeight="1" x14ac:dyDescent="0.2">
      <c r="A6" s="176" t="s">
        <v>6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</row>
    <row r="7" spans="1:34" s="78" customFormat="1" ht="27.75" customHeight="1" x14ac:dyDescent="0.25">
      <c r="A7" s="74">
        <v>1</v>
      </c>
      <c r="B7" s="83" t="s">
        <v>66</v>
      </c>
      <c r="C7" s="75" t="s">
        <v>14</v>
      </c>
      <c r="D7" s="118">
        <v>2859393.46</v>
      </c>
      <c r="E7" s="118">
        <v>2398057.0789999999</v>
      </c>
      <c r="F7" s="118">
        <f>SUM(G7:I7)</f>
        <v>649895.55099999998</v>
      </c>
      <c r="G7" s="118">
        <v>178227.345</v>
      </c>
      <c r="H7" s="118">
        <v>241711.46</v>
      </c>
      <c r="I7" s="118">
        <v>229956.74600000001</v>
      </c>
      <c r="J7" s="119">
        <v>631423.80099999998</v>
      </c>
      <c r="K7" s="120">
        <f t="shared" ref="K7:K41" si="8">F7-J7</f>
        <v>18471.75</v>
      </c>
      <c r="L7" s="121">
        <f>F7/J7*100</f>
        <v>102.92541237291751</v>
      </c>
      <c r="M7" s="120">
        <f>D7/12*3</f>
        <v>714848.36499999999</v>
      </c>
      <c r="N7" s="120">
        <f t="shared" ref="N7:N41" si="9">F7-M7</f>
        <v>-64952.814000000013</v>
      </c>
      <c r="O7" s="121">
        <f t="shared" ref="O7:O39" si="10">F7/M7*100</f>
        <v>90.913763368543201</v>
      </c>
      <c r="P7" s="121">
        <f>F7/D7*100</f>
        <v>22.7284408421358</v>
      </c>
      <c r="Q7" s="118">
        <v>514818.21499999997</v>
      </c>
      <c r="R7" s="120">
        <f t="shared" ref="R7:R41" si="11">F7-Q7</f>
        <v>135077.33600000001</v>
      </c>
      <c r="S7" s="121">
        <f>F7/Q7*100</f>
        <v>126.23787039081358</v>
      </c>
      <c r="T7" s="76"/>
      <c r="U7" s="76"/>
      <c r="V7" s="76">
        <f>T7-U7</f>
        <v>0</v>
      </c>
      <c r="W7" s="77" t="e">
        <f>T7/U7*100</f>
        <v>#DIV/0!</v>
      </c>
    </row>
    <row r="8" spans="1:34" s="78" customFormat="1" ht="26.25" customHeight="1" x14ac:dyDescent="0.25">
      <c r="A8" s="74">
        <f>A7+1</f>
        <v>2</v>
      </c>
      <c r="B8" s="83" t="s">
        <v>35</v>
      </c>
      <c r="C8" s="75" t="s">
        <v>16</v>
      </c>
      <c r="D8" s="118">
        <v>1010</v>
      </c>
      <c r="E8" s="118">
        <v>1100</v>
      </c>
      <c r="F8" s="118">
        <f t="shared" ref="F8:F65" si="12">SUM(G8:I8)</f>
        <v>269.18799999999999</v>
      </c>
      <c r="G8" s="118">
        <v>2.6560000000000001</v>
      </c>
      <c r="H8" s="118">
        <v>179.74199999999999</v>
      </c>
      <c r="I8" s="118">
        <v>86.79</v>
      </c>
      <c r="J8" s="119">
        <v>269</v>
      </c>
      <c r="K8" s="120">
        <f t="shared" si="8"/>
        <v>0.18799999999998818</v>
      </c>
      <c r="L8" s="121">
        <f>F8/J8*100</f>
        <v>100.06988847583642</v>
      </c>
      <c r="M8" s="120">
        <f>D8/12*3</f>
        <v>252.5</v>
      </c>
      <c r="N8" s="120">
        <f t="shared" si="9"/>
        <v>16.687999999999988</v>
      </c>
      <c r="O8" s="121">
        <f t="shared" si="10"/>
        <v>106.60910891089108</v>
      </c>
      <c r="P8" s="121">
        <f t="shared" ref="P8:P73" si="13">F8/D8*100</f>
        <v>26.65227722772277</v>
      </c>
      <c r="Q8" s="118">
        <v>549.21199999999999</v>
      </c>
      <c r="R8" s="120">
        <f t="shared" si="11"/>
        <v>-280.024</v>
      </c>
      <c r="S8" s="121">
        <f>F8/Q8*100</f>
        <v>49.013495699292804</v>
      </c>
      <c r="T8" s="76"/>
      <c r="U8" s="76"/>
      <c r="V8" s="76">
        <f>Q7/0.5</f>
        <v>1029636.4299999999</v>
      </c>
      <c r="W8" s="77">
        <f>U8/V8*100</f>
        <v>0</v>
      </c>
    </row>
    <row r="9" spans="1:34" s="78" customFormat="1" ht="23.25" x14ac:dyDescent="0.25">
      <c r="A9" s="74">
        <v>3</v>
      </c>
      <c r="B9" s="83" t="s">
        <v>106</v>
      </c>
      <c r="C9" s="75" t="s">
        <v>107</v>
      </c>
      <c r="D9" s="118">
        <f>SUM(D10:D13)</f>
        <v>484</v>
      </c>
      <c r="E9" s="118">
        <f>SUM(E11:E13)</f>
        <v>506.88</v>
      </c>
      <c r="F9" s="118">
        <f t="shared" si="12"/>
        <v>159.46800000000002</v>
      </c>
      <c r="G9" s="118">
        <f>SUM(G10:G13)</f>
        <v>1.3639999999999999</v>
      </c>
      <c r="H9" s="118">
        <f>SUM(H10:H13)</f>
        <v>157.917</v>
      </c>
      <c r="I9" s="118">
        <f>SUM(I10:I13)</f>
        <v>0.187</v>
      </c>
      <c r="J9" s="118">
        <f>SUM(J10:J13)</f>
        <v>159.02000000000001</v>
      </c>
      <c r="K9" s="120">
        <f t="shared" si="8"/>
        <v>0.4480000000000075</v>
      </c>
      <c r="L9" s="121">
        <f>F9/J9*100</f>
        <v>100.28172556911082</v>
      </c>
      <c r="M9" s="120">
        <f t="shared" ref="M9:M45" si="14">D9/12*3</f>
        <v>121</v>
      </c>
      <c r="N9" s="120">
        <f t="shared" si="9"/>
        <v>38.468000000000018</v>
      </c>
      <c r="O9" s="121">
        <f t="shared" si="10"/>
        <v>131.79173553719011</v>
      </c>
      <c r="P9" s="121">
        <f t="shared" si="13"/>
        <v>32.947933884297527</v>
      </c>
      <c r="Q9" s="118">
        <f>SUM(Q10:Q13)</f>
        <v>124.78700000000001</v>
      </c>
      <c r="R9" s="120">
        <f t="shared" si="11"/>
        <v>34.681000000000012</v>
      </c>
      <c r="S9" s="121">
        <f>F9/Q9*100</f>
        <v>127.79215783695417</v>
      </c>
      <c r="T9" s="76"/>
      <c r="U9" s="76"/>
      <c r="V9" s="76"/>
      <c r="W9" s="77"/>
    </row>
    <row r="10" spans="1:34" s="78" customFormat="1" ht="39" x14ac:dyDescent="0.25">
      <c r="A10" s="79" t="s">
        <v>108</v>
      </c>
      <c r="B10" s="166" t="s">
        <v>151</v>
      </c>
      <c r="C10" s="170" t="s">
        <v>152</v>
      </c>
      <c r="D10" s="118">
        <v>23</v>
      </c>
      <c r="E10" s="118"/>
      <c r="F10" s="122">
        <f t="shared" si="12"/>
        <v>4.5519999999999996</v>
      </c>
      <c r="G10" s="118">
        <v>0</v>
      </c>
      <c r="H10" s="118">
        <v>4.5519999999999996</v>
      </c>
      <c r="I10" s="118">
        <v>0</v>
      </c>
      <c r="J10" s="119">
        <v>4.5</v>
      </c>
      <c r="K10" s="120">
        <f t="shared" ref="K10" si="15">F10-J10</f>
        <v>5.1999999999999602E-2</v>
      </c>
      <c r="L10" s="121"/>
      <c r="M10" s="120">
        <f t="shared" si="14"/>
        <v>5.75</v>
      </c>
      <c r="N10" s="120">
        <f t="shared" ref="N10" si="16">F10-M10</f>
        <v>-1.1980000000000004</v>
      </c>
      <c r="O10" s="125">
        <f t="shared" si="10"/>
        <v>79.165217391304338</v>
      </c>
      <c r="P10" s="121">
        <f t="shared" si="13"/>
        <v>19.791304347826085</v>
      </c>
      <c r="Q10" s="118">
        <v>8.5120000000000005</v>
      </c>
      <c r="R10" s="120">
        <f t="shared" si="11"/>
        <v>-3.9600000000000009</v>
      </c>
      <c r="S10" s="121">
        <f t="shared" ref="S10:S11" si="17">F10/Q10*100</f>
        <v>53.477443609022544</v>
      </c>
      <c r="T10" s="76"/>
      <c r="U10" s="76"/>
      <c r="V10" s="76"/>
      <c r="W10" s="77"/>
    </row>
    <row r="11" spans="1:34" s="82" customFormat="1" ht="58.5" x14ac:dyDescent="0.25">
      <c r="A11" s="79" t="s">
        <v>109</v>
      </c>
      <c r="B11" s="166" t="s">
        <v>101</v>
      </c>
      <c r="C11" s="67" t="s">
        <v>102</v>
      </c>
      <c r="D11" s="122">
        <v>160</v>
      </c>
      <c r="E11" s="122">
        <v>166.79</v>
      </c>
      <c r="F11" s="122">
        <f t="shared" si="12"/>
        <v>69.736000000000004</v>
      </c>
      <c r="G11" s="122">
        <v>0</v>
      </c>
      <c r="H11" s="122">
        <v>69.736000000000004</v>
      </c>
      <c r="I11" s="122">
        <v>0</v>
      </c>
      <c r="J11" s="123">
        <v>69.7</v>
      </c>
      <c r="K11" s="124">
        <f t="shared" si="8"/>
        <v>3.6000000000001364E-2</v>
      </c>
      <c r="L11" s="125"/>
      <c r="M11" s="124">
        <f t="shared" si="14"/>
        <v>40</v>
      </c>
      <c r="N11" s="124">
        <f t="shared" si="9"/>
        <v>29.736000000000004</v>
      </c>
      <c r="O11" s="125">
        <f t="shared" si="10"/>
        <v>174.34</v>
      </c>
      <c r="P11" s="125">
        <f t="shared" si="13"/>
        <v>43.585000000000001</v>
      </c>
      <c r="Q11" s="122">
        <v>53.468000000000004</v>
      </c>
      <c r="R11" s="124">
        <f t="shared" si="11"/>
        <v>16.268000000000001</v>
      </c>
      <c r="S11" s="125">
        <f t="shared" si="17"/>
        <v>130.42567517019526</v>
      </c>
    </row>
    <row r="12" spans="1:34" s="82" customFormat="1" ht="39" x14ac:dyDescent="0.25">
      <c r="A12" s="79" t="s">
        <v>110</v>
      </c>
      <c r="B12" s="166" t="s">
        <v>142</v>
      </c>
      <c r="C12" s="67" t="s">
        <v>105</v>
      </c>
      <c r="D12" s="122">
        <v>86</v>
      </c>
      <c r="E12" s="122">
        <v>82.45</v>
      </c>
      <c r="F12" s="122">
        <f t="shared" si="12"/>
        <v>21.141000000000002</v>
      </c>
      <c r="G12" s="122">
        <v>0.96</v>
      </c>
      <c r="H12" s="122">
        <v>19.994</v>
      </c>
      <c r="I12" s="122">
        <v>0.187</v>
      </c>
      <c r="J12" s="123">
        <v>20.82</v>
      </c>
      <c r="K12" s="124">
        <f t="shared" si="8"/>
        <v>0.32100000000000151</v>
      </c>
      <c r="L12" s="125">
        <f>F12/J12*100</f>
        <v>101.54178674351586</v>
      </c>
      <c r="M12" s="124">
        <f t="shared" si="14"/>
        <v>21.5</v>
      </c>
      <c r="N12" s="124">
        <f t="shared" si="9"/>
        <v>-0.35899999999999821</v>
      </c>
      <c r="O12" s="125">
        <f t="shared" si="10"/>
        <v>98.330232558139542</v>
      </c>
      <c r="P12" s="125">
        <f t="shared" si="13"/>
        <v>24.582558139534886</v>
      </c>
      <c r="Q12" s="122">
        <v>16.780000000000005</v>
      </c>
      <c r="R12" s="124">
        <f t="shared" si="11"/>
        <v>4.3609999999999971</v>
      </c>
      <c r="S12" s="125">
        <f>F12/Q12*100</f>
        <v>125.98927294398091</v>
      </c>
    </row>
    <row r="13" spans="1:34" s="82" customFormat="1" ht="39" x14ac:dyDescent="0.25">
      <c r="A13" s="79" t="s">
        <v>153</v>
      </c>
      <c r="B13" s="166" t="s">
        <v>141</v>
      </c>
      <c r="C13" s="67" t="s">
        <v>140</v>
      </c>
      <c r="D13" s="122">
        <v>215</v>
      </c>
      <c r="E13" s="122">
        <v>257.64</v>
      </c>
      <c r="F13" s="122">
        <f t="shared" si="12"/>
        <v>64.039000000000001</v>
      </c>
      <c r="G13" s="122">
        <v>0.40400000000000003</v>
      </c>
      <c r="H13" s="122">
        <v>63.634999999999998</v>
      </c>
      <c r="I13" s="122">
        <v>0</v>
      </c>
      <c r="J13" s="123">
        <v>64</v>
      </c>
      <c r="K13" s="124">
        <f t="shared" si="8"/>
        <v>3.9000000000001478E-2</v>
      </c>
      <c r="L13" s="125">
        <f>F13/J13*100</f>
        <v>100.06093750000001</v>
      </c>
      <c r="M13" s="124">
        <f t="shared" si="14"/>
        <v>53.75</v>
      </c>
      <c r="N13" s="124">
        <f t="shared" si="9"/>
        <v>10.289000000000001</v>
      </c>
      <c r="O13" s="125">
        <f t="shared" si="10"/>
        <v>119.14232558139534</v>
      </c>
      <c r="P13" s="125">
        <f t="shared" si="13"/>
        <v>29.785581395348835</v>
      </c>
      <c r="Q13" s="122">
        <v>46.027000000000001</v>
      </c>
      <c r="R13" s="124">
        <f t="shared" si="11"/>
        <v>18.012</v>
      </c>
      <c r="S13" s="125">
        <f>F13/Q13*100</f>
        <v>139.13355204553847</v>
      </c>
    </row>
    <row r="14" spans="1:34" s="78" customFormat="1" ht="23.25" x14ac:dyDescent="0.25">
      <c r="A14" s="74">
        <v>4</v>
      </c>
      <c r="B14" s="106" t="s">
        <v>90</v>
      </c>
      <c r="C14" s="102" t="s">
        <v>89</v>
      </c>
      <c r="D14" s="118">
        <f>SUM(D15:D17)</f>
        <v>283000</v>
      </c>
      <c r="E14" s="118">
        <f>SUM(E15:E17)</f>
        <v>247766</v>
      </c>
      <c r="F14" s="118">
        <f t="shared" si="12"/>
        <v>46735.17</v>
      </c>
      <c r="G14" s="118">
        <f t="shared" ref="G14:J14" si="18">SUM(G15:G17)</f>
        <v>13827.143</v>
      </c>
      <c r="H14" s="118">
        <f t="shared" ref="H14" si="19">SUM(H15:H17)</f>
        <v>7447.0510000000004</v>
      </c>
      <c r="I14" s="118">
        <f t="shared" si="18"/>
        <v>25460.975999999999</v>
      </c>
      <c r="J14" s="119">
        <f t="shared" si="18"/>
        <v>46100</v>
      </c>
      <c r="K14" s="120">
        <f t="shared" si="8"/>
        <v>635.16999999999825</v>
      </c>
      <c r="L14" s="121">
        <f>F14/J14*100</f>
        <v>101.37780911062906</v>
      </c>
      <c r="M14" s="120">
        <f t="shared" si="14"/>
        <v>70750</v>
      </c>
      <c r="N14" s="120">
        <f t="shared" si="9"/>
        <v>-24014.83</v>
      </c>
      <c r="O14" s="121">
        <f t="shared" si="10"/>
        <v>66.056777385159009</v>
      </c>
      <c r="P14" s="121">
        <f t="shared" si="13"/>
        <v>16.514194346289752</v>
      </c>
      <c r="Q14" s="118">
        <f t="shared" ref="Q14" si="20">SUM(Q15:Q17)</f>
        <v>52124.096000000005</v>
      </c>
      <c r="R14" s="120">
        <f t="shared" si="11"/>
        <v>-5388.9260000000068</v>
      </c>
      <c r="S14" s="121">
        <f>F14/Q14*100</f>
        <v>89.661353551340241</v>
      </c>
    </row>
    <row r="15" spans="1:34" s="82" customFormat="1" ht="30" customHeight="1" x14ac:dyDescent="0.25">
      <c r="A15" s="79" t="s">
        <v>123</v>
      </c>
      <c r="B15" s="166" t="s">
        <v>95</v>
      </c>
      <c r="C15" s="67" t="s">
        <v>87</v>
      </c>
      <c r="D15" s="122">
        <v>32000</v>
      </c>
      <c r="E15" s="122">
        <v>25500</v>
      </c>
      <c r="F15" s="122">
        <f t="shared" si="12"/>
        <v>4216.5990000000002</v>
      </c>
      <c r="G15" s="122">
        <v>0</v>
      </c>
      <c r="H15" s="122">
        <v>0</v>
      </c>
      <c r="I15" s="122">
        <v>4216.5990000000002</v>
      </c>
      <c r="J15" s="123">
        <v>4100</v>
      </c>
      <c r="K15" s="124">
        <f t="shared" si="8"/>
        <v>116.59900000000016</v>
      </c>
      <c r="L15" s="125">
        <f t="shared" ref="L15:L26" si="21">F15/J15*100</f>
        <v>102.8438780487805</v>
      </c>
      <c r="M15" s="124">
        <f t="shared" si="14"/>
        <v>8000</v>
      </c>
      <c r="N15" s="124">
        <f t="shared" si="9"/>
        <v>-3783.4009999999998</v>
      </c>
      <c r="O15" s="125">
        <f t="shared" si="10"/>
        <v>52.707487500000006</v>
      </c>
      <c r="P15" s="125">
        <f t="shared" si="13"/>
        <v>13.176871875000002</v>
      </c>
      <c r="Q15" s="122">
        <v>6236.9179999999997</v>
      </c>
      <c r="R15" s="124">
        <f t="shared" si="11"/>
        <v>-2020.3189999999995</v>
      </c>
      <c r="S15" s="125">
        <f t="shared" ref="S15:S24" si="22">F15/Q15*100</f>
        <v>67.607093760091132</v>
      </c>
      <c r="T15" s="80">
        <f>Q15+Q16</f>
        <v>27250.046000000002</v>
      </c>
      <c r="U15" s="80">
        <f>F15+F16</f>
        <v>18423.762999999999</v>
      </c>
    </row>
    <row r="16" spans="1:34" s="82" customFormat="1" ht="39" x14ac:dyDescent="0.25">
      <c r="A16" s="79" t="s">
        <v>124</v>
      </c>
      <c r="B16" s="166" t="s">
        <v>96</v>
      </c>
      <c r="C16" s="67" t="s">
        <v>88</v>
      </c>
      <c r="D16" s="122">
        <v>106000</v>
      </c>
      <c r="E16" s="122">
        <v>87500</v>
      </c>
      <c r="F16" s="122">
        <f t="shared" si="12"/>
        <v>14207.164000000001</v>
      </c>
      <c r="G16" s="122">
        <v>0</v>
      </c>
      <c r="H16" s="122">
        <v>0</v>
      </c>
      <c r="I16" s="122">
        <v>14207.164000000001</v>
      </c>
      <c r="J16" s="123">
        <v>14100</v>
      </c>
      <c r="K16" s="124">
        <f t="shared" si="8"/>
        <v>107.16400000000067</v>
      </c>
      <c r="L16" s="125">
        <f t="shared" si="21"/>
        <v>100.76002836879434</v>
      </c>
      <c r="M16" s="124">
        <f t="shared" si="14"/>
        <v>26500</v>
      </c>
      <c r="N16" s="124">
        <f t="shared" si="9"/>
        <v>-12292.835999999999</v>
      </c>
      <c r="O16" s="125">
        <f t="shared" si="10"/>
        <v>53.611939622641515</v>
      </c>
      <c r="P16" s="125">
        <f t="shared" si="13"/>
        <v>13.402984905660379</v>
      </c>
      <c r="Q16" s="122">
        <v>21013.128000000001</v>
      </c>
      <c r="R16" s="124">
        <f t="shared" si="11"/>
        <v>-6805.9639999999999</v>
      </c>
      <c r="S16" s="125">
        <f t="shared" si="22"/>
        <v>67.610895436414793</v>
      </c>
    </row>
    <row r="17" spans="1:22" s="82" customFormat="1" ht="39" x14ac:dyDescent="0.25">
      <c r="A17" s="79" t="s">
        <v>125</v>
      </c>
      <c r="B17" s="166" t="s">
        <v>97</v>
      </c>
      <c r="C17" s="67" t="s">
        <v>55</v>
      </c>
      <c r="D17" s="122">
        <v>145000</v>
      </c>
      <c r="E17" s="122">
        <v>134766</v>
      </c>
      <c r="F17" s="122">
        <f t="shared" si="12"/>
        <v>28311.406999999999</v>
      </c>
      <c r="G17" s="122">
        <v>13827.143</v>
      </c>
      <c r="H17" s="122">
        <v>7447.0510000000004</v>
      </c>
      <c r="I17" s="122">
        <v>7037.2129999999997</v>
      </c>
      <c r="J17" s="123">
        <v>27900</v>
      </c>
      <c r="K17" s="124">
        <f t="shared" si="8"/>
        <v>411.40699999999924</v>
      </c>
      <c r="L17" s="125">
        <f t="shared" si="21"/>
        <v>101.47457706093191</v>
      </c>
      <c r="M17" s="124">
        <f t="shared" si="14"/>
        <v>36250</v>
      </c>
      <c r="N17" s="124">
        <f t="shared" si="9"/>
        <v>-7938.5930000000008</v>
      </c>
      <c r="O17" s="125">
        <f t="shared" si="10"/>
        <v>78.100433103448268</v>
      </c>
      <c r="P17" s="125">
        <f t="shared" si="13"/>
        <v>19.525108275862067</v>
      </c>
      <c r="Q17" s="122">
        <v>24874.050000000003</v>
      </c>
      <c r="R17" s="124">
        <f t="shared" si="11"/>
        <v>3437.3569999999963</v>
      </c>
      <c r="S17" s="125">
        <f t="shared" si="22"/>
        <v>113.81904836566621</v>
      </c>
    </row>
    <row r="18" spans="1:22" s="107" customFormat="1" ht="23.25" x14ac:dyDescent="0.25">
      <c r="A18" s="74">
        <v>5</v>
      </c>
      <c r="B18" s="83" t="s">
        <v>160</v>
      </c>
      <c r="C18" s="75" t="s">
        <v>161</v>
      </c>
      <c r="D18" s="118">
        <v>0</v>
      </c>
      <c r="E18" s="118"/>
      <c r="F18" s="118">
        <f t="shared" si="12"/>
        <v>6.7789999999999999</v>
      </c>
      <c r="G18" s="118">
        <v>0</v>
      </c>
      <c r="H18" s="118">
        <v>4.5270000000000001</v>
      </c>
      <c r="I18" s="118">
        <v>2.2519999999999998</v>
      </c>
      <c r="J18" s="119">
        <v>0</v>
      </c>
      <c r="K18" s="120">
        <f t="shared" si="8"/>
        <v>6.7789999999999999</v>
      </c>
      <c r="L18" s="121"/>
      <c r="M18" s="120">
        <f t="shared" si="14"/>
        <v>0</v>
      </c>
      <c r="N18" s="120">
        <f t="shared" si="9"/>
        <v>6.7789999999999999</v>
      </c>
      <c r="O18" s="121"/>
      <c r="P18" s="121"/>
      <c r="Q18" s="118">
        <v>0</v>
      </c>
      <c r="R18" s="120">
        <f t="shared" si="11"/>
        <v>6.7789999999999999</v>
      </c>
      <c r="S18" s="121"/>
      <c r="T18" s="144"/>
      <c r="U18" s="144"/>
    </row>
    <row r="19" spans="1:22" s="107" customFormat="1" ht="39" x14ac:dyDescent="0.25">
      <c r="A19" s="74">
        <v>6</v>
      </c>
      <c r="B19" s="83" t="s">
        <v>157</v>
      </c>
      <c r="C19" s="75" t="s">
        <v>37</v>
      </c>
      <c r="D19" s="118">
        <f>D20+D21+D22+D24+D23</f>
        <v>1148486.2349999999</v>
      </c>
      <c r="E19" s="118">
        <f>E20+E21+E22+E24+E23</f>
        <v>1024661.45</v>
      </c>
      <c r="F19" s="118">
        <f t="shared" si="12"/>
        <v>267347.37400000001</v>
      </c>
      <c r="G19" s="118">
        <f t="shared" ref="G19:J19" si="23">G20+G21+G22+G24+G23</f>
        <v>103730.772</v>
      </c>
      <c r="H19" s="118">
        <f t="shared" ref="H19" si="24">H20+H21+H22+H24+H23</f>
        <v>124787.395</v>
      </c>
      <c r="I19" s="118">
        <f t="shared" si="23"/>
        <v>38829.207000000009</v>
      </c>
      <c r="J19" s="119">
        <f t="shared" si="23"/>
        <v>263952.90000000002</v>
      </c>
      <c r="K19" s="120">
        <f t="shared" si="8"/>
        <v>3394.4739999999874</v>
      </c>
      <c r="L19" s="121">
        <f t="shared" si="21"/>
        <v>101.2860150428353</v>
      </c>
      <c r="M19" s="120">
        <f t="shared" si="14"/>
        <v>287121.55874999997</v>
      </c>
      <c r="N19" s="120">
        <f t="shared" si="9"/>
        <v>-19774.184749999957</v>
      </c>
      <c r="O19" s="121">
        <f t="shared" si="10"/>
        <v>93.112957161389062</v>
      </c>
      <c r="P19" s="121">
        <f t="shared" si="13"/>
        <v>23.278239290347265</v>
      </c>
      <c r="Q19" s="118">
        <f t="shared" ref="Q19" si="25">Q20+Q21+Q22+Q24+Q23</f>
        <v>231292.992</v>
      </c>
      <c r="R19" s="120">
        <f t="shared" si="11"/>
        <v>36054.382000000012</v>
      </c>
      <c r="S19" s="121">
        <f t="shared" si="22"/>
        <v>115.58818608736749</v>
      </c>
      <c r="T19" s="144">
        <f>Q21+Q22+Q20</f>
        <v>74014.517999999982</v>
      </c>
      <c r="U19" s="144">
        <f>F20+F21+F22</f>
        <v>73132.706000000006</v>
      </c>
    </row>
    <row r="20" spans="1:22" s="109" customFormat="1" ht="34.5" customHeight="1" x14ac:dyDescent="0.25">
      <c r="A20" s="108" t="s">
        <v>135</v>
      </c>
      <c r="B20" s="167" t="s">
        <v>56</v>
      </c>
      <c r="C20" s="182" t="s">
        <v>43</v>
      </c>
      <c r="D20" s="122">
        <v>116436.235</v>
      </c>
      <c r="E20" s="122">
        <v>92667.25</v>
      </c>
      <c r="F20" s="122">
        <f t="shared" si="12"/>
        <v>19905.88</v>
      </c>
      <c r="G20" s="122">
        <v>13619.357</v>
      </c>
      <c r="H20" s="122">
        <v>3898.9369999999999</v>
      </c>
      <c r="I20" s="122">
        <v>2387.5859999999998</v>
      </c>
      <c r="J20" s="123">
        <v>18859</v>
      </c>
      <c r="K20" s="124">
        <f t="shared" si="8"/>
        <v>1046.880000000001</v>
      </c>
      <c r="L20" s="125">
        <f t="shared" si="21"/>
        <v>105.55108966541174</v>
      </c>
      <c r="M20" s="143">
        <f t="shared" si="14"/>
        <v>29109.058749999997</v>
      </c>
      <c r="N20" s="124">
        <f t="shared" si="9"/>
        <v>-9203.1787499999955</v>
      </c>
      <c r="O20" s="125">
        <f t="shared" si="10"/>
        <v>68.383798222263039</v>
      </c>
      <c r="P20" s="125">
        <f t="shared" si="13"/>
        <v>17.095949555565756</v>
      </c>
      <c r="Q20" s="122">
        <v>17363.809999999998</v>
      </c>
      <c r="R20" s="124">
        <f t="shared" si="11"/>
        <v>2542.0700000000033</v>
      </c>
      <c r="S20" s="125">
        <f t="shared" si="22"/>
        <v>114.64004731680436</v>
      </c>
    </row>
    <row r="21" spans="1:22" s="109" customFormat="1" ht="34.5" customHeight="1" x14ac:dyDescent="0.25">
      <c r="A21" s="79" t="s">
        <v>136</v>
      </c>
      <c r="B21" s="167" t="s">
        <v>7</v>
      </c>
      <c r="C21" s="182"/>
      <c r="D21" s="122">
        <v>271200</v>
      </c>
      <c r="E21" s="122">
        <v>300000</v>
      </c>
      <c r="F21" s="122">
        <f t="shared" si="12"/>
        <v>52846.344000000005</v>
      </c>
      <c r="G21" s="122">
        <v>16688.975999999999</v>
      </c>
      <c r="H21" s="122">
        <v>18871.809000000001</v>
      </c>
      <c r="I21" s="122">
        <v>17285.559000000001</v>
      </c>
      <c r="J21" s="123">
        <v>51675</v>
      </c>
      <c r="K21" s="124">
        <f t="shared" si="8"/>
        <v>1171.3440000000046</v>
      </c>
      <c r="L21" s="125">
        <f t="shared" si="21"/>
        <v>102.26675181422351</v>
      </c>
      <c r="M21" s="120">
        <f t="shared" si="14"/>
        <v>67800</v>
      </c>
      <c r="N21" s="124">
        <f t="shared" si="9"/>
        <v>-14953.655999999995</v>
      </c>
      <c r="O21" s="125">
        <f t="shared" si="10"/>
        <v>77.944460176991157</v>
      </c>
      <c r="P21" s="125">
        <f t="shared" si="13"/>
        <v>19.486115044247789</v>
      </c>
      <c r="Q21" s="122">
        <v>56119.831999999995</v>
      </c>
      <c r="R21" s="124">
        <f t="shared" si="11"/>
        <v>-3273.4879999999903</v>
      </c>
      <c r="S21" s="125">
        <f t="shared" si="22"/>
        <v>94.166967570394746</v>
      </c>
    </row>
    <row r="22" spans="1:22" s="109" customFormat="1" ht="34.5" customHeight="1" x14ac:dyDescent="0.25">
      <c r="A22" s="79" t="s">
        <v>137</v>
      </c>
      <c r="B22" s="167" t="s">
        <v>57</v>
      </c>
      <c r="C22" s="182"/>
      <c r="D22" s="122">
        <v>1200</v>
      </c>
      <c r="E22" s="122">
        <v>475</v>
      </c>
      <c r="F22" s="122">
        <f t="shared" si="12"/>
        <v>380.48199999999997</v>
      </c>
      <c r="G22" s="122">
        <v>247.57300000000001</v>
      </c>
      <c r="H22" s="122">
        <v>103.742</v>
      </c>
      <c r="I22" s="122">
        <v>29.167000000000002</v>
      </c>
      <c r="J22" s="123">
        <v>354</v>
      </c>
      <c r="K22" s="124">
        <f t="shared" si="8"/>
        <v>26.481999999999971</v>
      </c>
      <c r="L22" s="125">
        <f t="shared" si="21"/>
        <v>107.48079096045198</v>
      </c>
      <c r="M22" s="120">
        <f t="shared" si="14"/>
        <v>300</v>
      </c>
      <c r="N22" s="124">
        <f t="shared" si="9"/>
        <v>80.481999999999971</v>
      </c>
      <c r="O22" s="125">
        <f t="shared" si="10"/>
        <v>126.82733333333331</v>
      </c>
      <c r="P22" s="125">
        <f t="shared" si="13"/>
        <v>31.706833333333329</v>
      </c>
      <c r="Q22" s="122">
        <v>530.87599999999998</v>
      </c>
      <c r="R22" s="124">
        <f t="shared" si="11"/>
        <v>-150.39400000000001</v>
      </c>
      <c r="S22" s="125">
        <f t="shared" si="22"/>
        <v>71.670597276953558</v>
      </c>
      <c r="T22" s="125">
        <f>100-S22</f>
        <v>28.329402723046442</v>
      </c>
      <c r="U22" s="110"/>
      <c r="V22" s="111" t="e">
        <f>F20/#REF!*100</f>
        <v>#REF!</v>
      </c>
    </row>
    <row r="23" spans="1:22" s="113" customFormat="1" ht="34.5" customHeight="1" x14ac:dyDescent="0.25">
      <c r="A23" s="79" t="s">
        <v>138</v>
      </c>
      <c r="B23" s="167" t="s">
        <v>39</v>
      </c>
      <c r="C23" s="112" t="s">
        <v>38</v>
      </c>
      <c r="D23" s="122">
        <v>2050</v>
      </c>
      <c r="E23" s="122">
        <v>950</v>
      </c>
      <c r="F23" s="122">
        <f t="shared" si="12"/>
        <v>366.476</v>
      </c>
      <c r="G23" s="122">
        <v>94</v>
      </c>
      <c r="H23" s="122">
        <v>159.066</v>
      </c>
      <c r="I23" s="122">
        <v>113.41</v>
      </c>
      <c r="J23" s="123">
        <v>355.9</v>
      </c>
      <c r="K23" s="124">
        <f t="shared" si="8"/>
        <v>10.576000000000022</v>
      </c>
      <c r="L23" s="125">
        <f t="shared" si="21"/>
        <v>102.97162124192189</v>
      </c>
      <c r="M23" s="120">
        <f t="shared" si="14"/>
        <v>512.5</v>
      </c>
      <c r="N23" s="124">
        <f t="shared" si="9"/>
        <v>-146.024</v>
      </c>
      <c r="O23" s="125">
        <f t="shared" si="10"/>
        <v>71.507512195121947</v>
      </c>
      <c r="P23" s="125">
        <f t="shared" si="13"/>
        <v>17.876878048780487</v>
      </c>
      <c r="Q23" s="122">
        <v>224.292</v>
      </c>
      <c r="R23" s="122">
        <f t="shared" si="11"/>
        <v>142.184</v>
      </c>
      <c r="S23" s="125">
        <f t="shared" si="22"/>
        <v>163.39236352611775</v>
      </c>
    </row>
    <row r="24" spans="1:22" s="109" customFormat="1" ht="34.5" customHeight="1" x14ac:dyDescent="0.25">
      <c r="A24" s="79" t="s">
        <v>170</v>
      </c>
      <c r="B24" s="167" t="s">
        <v>32</v>
      </c>
      <c r="C24" s="172" t="s">
        <v>33</v>
      </c>
      <c r="D24" s="122">
        <v>757600</v>
      </c>
      <c r="E24" s="122">
        <v>630569.19999999995</v>
      </c>
      <c r="F24" s="122">
        <f t="shared" si="12"/>
        <v>193848.19199999998</v>
      </c>
      <c r="G24" s="122">
        <v>73080.865999999995</v>
      </c>
      <c r="H24" s="122">
        <v>101753.841</v>
      </c>
      <c r="I24" s="122">
        <v>19013.485000000001</v>
      </c>
      <c r="J24" s="123">
        <v>192709</v>
      </c>
      <c r="K24" s="124">
        <f t="shared" si="8"/>
        <v>1139.1919999999809</v>
      </c>
      <c r="L24" s="125">
        <f t="shared" si="21"/>
        <v>100.59114623603462</v>
      </c>
      <c r="M24" s="120">
        <f t="shared" si="14"/>
        <v>189400</v>
      </c>
      <c r="N24" s="124">
        <f t="shared" si="9"/>
        <v>4448.1919999999809</v>
      </c>
      <c r="O24" s="125">
        <f t="shared" si="10"/>
        <v>102.34857022175289</v>
      </c>
      <c r="P24" s="125">
        <f t="shared" si="13"/>
        <v>25.587142555438223</v>
      </c>
      <c r="Q24" s="122">
        <v>157054.182</v>
      </c>
      <c r="R24" s="124">
        <f t="shared" si="11"/>
        <v>36794.00999999998</v>
      </c>
      <c r="S24" s="125">
        <f t="shared" si="22"/>
        <v>123.42759010390438</v>
      </c>
      <c r="U24" s="110"/>
      <c r="V24" s="111" t="e">
        <f>F24/#REF!*100</f>
        <v>#REF!</v>
      </c>
    </row>
    <row r="25" spans="1:22" s="78" customFormat="1" ht="39" x14ac:dyDescent="0.25">
      <c r="A25" s="74">
        <v>7</v>
      </c>
      <c r="B25" s="83" t="s">
        <v>45</v>
      </c>
      <c r="C25" s="75" t="s">
        <v>17</v>
      </c>
      <c r="D25" s="118">
        <v>950</v>
      </c>
      <c r="E25" s="118">
        <v>450</v>
      </c>
      <c r="F25" s="118">
        <f t="shared" si="12"/>
        <v>52.402999999999999</v>
      </c>
      <c r="G25" s="118">
        <v>1.284</v>
      </c>
      <c r="H25" s="118">
        <v>40.808</v>
      </c>
      <c r="I25" s="118">
        <v>10.311</v>
      </c>
      <c r="J25" s="119">
        <v>51</v>
      </c>
      <c r="K25" s="120">
        <f t="shared" si="8"/>
        <v>1.4029999999999987</v>
      </c>
      <c r="L25" s="121">
        <f t="shared" si="21"/>
        <v>102.75098039215686</v>
      </c>
      <c r="M25" s="120">
        <f t="shared" si="14"/>
        <v>237.5</v>
      </c>
      <c r="N25" s="120">
        <f t="shared" si="9"/>
        <v>-185.09700000000001</v>
      </c>
      <c r="O25" s="121">
        <f t="shared" si="10"/>
        <v>22.064421052631577</v>
      </c>
      <c r="P25" s="121">
        <f t="shared" si="13"/>
        <v>5.5161052631578942</v>
      </c>
      <c r="Q25" s="118">
        <v>93.387</v>
      </c>
      <c r="R25" s="120">
        <f t="shared" si="11"/>
        <v>-40.984000000000002</v>
      </c>
      <c r="S25" s="121">
        <f>F25/Q25*100</f>
        <v>56.113805990127105</v>
      </c>
      <c r="T25" s="77">
        <f>100-S25</f>
        <v>43.886194009872895</v>
      </c>
    </row>
    <row r="26" spans="1:22" s="78" customFormat="1" ht="23.25" x14ac:dyDescent="0.25">
      <c r="A26" s="74">
        <f t="shared" ref="A26:A33" si="26">A25+1</f>
        <v>8</v>
      </c>
      <c r="B26" s="83" t="s">
        <v>71</v>
      </c>
      <c r="C26" s="75" t="s">
        <v>70</v>
      </c>
      <c r="D26" s="118">
        <v>12000</v>
      </c>
      <c r="E26" s="118">
        <v>12000</v>
      </c>
      <c r="F26" s="118">
        <f t="shared" si="12"/>
        <v>2990.8999999999996</v>
      </c>
      <c r="G26" s="118">
        <v>501.13</v>
      </c>
      <c r="H26" s="118">
        <v>1239.6949999999999</v>
      </c>
      <c r="I26" s="118">
        <v>1250.075</v>
      </c>
      <c r="J26" s="119">
        <v>2650</v>
      </c>
      <c r="K26" s="120">
        <f t="shared" si="8"/>
        <v>340.89999999999964</v>
      </c>
      <c r="L26" s="121">
        <f t="shared" si="21"/>
        <v>112.86415094339621</v>
      </c>
      <c r="M26" s="120">
        <f t="shared" si="14"/>
        <v>3000</v>
      </c>
      <c r="N26" s="120">
        <f t="shared" si="9"/>
        <v>-9.1000000000003638</v>
      </c>
      <c r="O26" s="121">
        <f t="shared" si="10"/>
        <v>99.696666666666658</v>
      </c>
      <c r="P26" s="121">
        <f t="shared" si="13"/>
        <v>24.924166666666665</v>
      </c>
      <c r="Q26" s="118">
        <v>3263.4790000000003</v>
      </c>
      <c r="R26" s="120">
        <f t="shared" si="11"/>
        <v>-272.57900000000063</v>
      </c>
      <c r="S26" s="121">
        <f>F26/Q26*100</f>
        <v>91.647594484291133</v>
      </c>
    </row>
    <row r="27" spans="1:22" s="78" customFormat="1" ht="23.25" x14ac:dyDescent="0.25">
      <c r="A27" s="74">
        <f t="shared" si="26"/>
        <v>9</v>
      </c>
      <c r="B27" s="83" t="s">
        <v>8</v>
      </c>
      <c r="C27" s="75" t="s">
        <v>18</v>
      </c>
      <c r="D27" s="118">
        <v>6.1</v>
      </c>
      <c r="E27" s="118">
        <v>5.5</v>
      </c>
      <c r="F27" s="118">
        <f t="shared" si="12"/>
        <v>0</v>
      </c>
      <c r="G27" s="118">
        <v>0</v>
      </c>
      <c r="H27" s="118"/>
      <c r="I27" s="118">
        <v>0</v>
      </c>
      <c r="J27" s="119">
        <v>0</v>
      </c>
      <c r="K27" s="120">
        <f t="shared" si="8"/>
        <v>0</v>
      </c>
      <c r="L27" s="121"/>
      <c r="M27" s="120">
        <f t="shared" si="14"/>
        <v>1.5249999999999999</v>
      </c>
      <c r="N27" s="120">
        <f t="shared" si="9"/>
        <v>-1.5249999999999999</v>
      </c>
      <c r="O27" s="121">
        <f t="shared" si="10"/>
        <v>0</v>
      </c>
      <c r="P27" s="121">
        <f t="shared" si="13"/>
        <v>0</v>
      </c>
      <c r="Q27" s="118">
        <v>0.38</v>
      </c>
      <c r="R27" s="120">
        <f t="shared" si="11"/>
        <v>-0.38</v>
      </c>
      <c r="S27" s="121"/>
    </row>
    <row r="28" spans="1:22" s="78" customFormat="1" ht="58.5" x14ac:dyDescent="0.25">
      <c r="A28" s="74">
        <f t="shared" si="26"/>
        <v>10</v>
      </c>
      <c r="B28" s="135" t="s">
        <v>91</v>
      </c>
      <c r="C28" s="103" t="s">
        <v>92</v>
      </c>
      <c r="D28" s="118">
        <v>0.05</v>
      </c>
      <c r="E28" s="118">
        <v>4.5</v>
      </c>
      <c r="F28" s="118">
        <f t="shared" si="12"/>
        <v>5.1849999999999996</v>
      </c>
      <c r="G28" s="118">
        <v>5.1849999999999996</v>
      </c>
      <c r="H28" s="118"/>
      <c r="I28" s="118">
        <v>0</v>
      </c>
      <c r="J28" s="119">
        <v>0.05</v>
      </c>
      <c r="K28" s="120">
        <f t="shared" si="8"/>
        <v>5.1349999999999998</v>
      </c>
      <c r="L28" s="121">
        <f t="shared" ref="L28:L39" si="27">F28/J28*100</f>
        <v>10369.999999999998</v>
      </c>
      <c r="M28" s="120">
        <f t="shared" si="14"/>
        <v>1.2500000000000001E-2</v>
      </c>
      <c r="N28" s="120">
        <f t="shared" si="9"/>
        <v>5.1724999999999994</v>
      </c>
      <c r="O28" s="121">
        <f t="shared" si="10"/>
        <v>41479.999999999993</v>
      </c>
      <c r="P28" s="121">
        <f t="shared" si="13"/>
        <v>10369.999999999998</v>
      </c>
      <c r="Q28" s="118">
        <v>0</v>
      </c>
      <c r="R28" s="120">
        <f t="shared" si="11"/>
        <v>5.1849999999999996</v>
      </c>
      <c r="S28" s="121"/>
    </row>
    <row r="29" spans="1:22" s="78" customFormat="1" ht="23.25" x14ac:dyDescent="0.25">
      <c r="A29" s="74">
        <f t="shared" si="26"/>
        <v>11</v>
      </c>
      <c r="B29" s="131" t="s">
        <v>29</v>
      </c>
      <c r="C29" s="75" t="s">
        <v>24</v>
      </c>
      <c r="D29" s="118">
        <v>14300</v>
      </c>
      <c r="E29" s="118">
        <v>8804.73</v>
      </c>
      <c r="F29" s="118">
        <f t="shared" si="12"/>
        <v>2278.2849999999999</v>
      </c>
      <c r="G29" s="118">
        <v>1031.287</v>
      </c>
      <c r="H29" s="118">
        <v>1145.06</v>
      </c>
      <c r="I29" s="118">
        <v>101.938</v>
      </c>
      <c r="J29" s="119">
        <v>2245</v>
      </c>
      <c r="K29" s="120">
        <f t="shared" si="8"/>
        <v>33.284999999999854</v>
      </c>
      <c r="L29" s="121">
        <f t="shared" si="27"/>
        <v>101.48262806236079</v>
      </c>
      <c r="M29" s="120">
        <f t="shared" si="14"/>
        <v>3575</v>
      </c>
      <c r="N29" s="120">
        <f t="shared" si="9"/>
        <v>-1296.7150000000001</v>
      </c>
      <c r="O29" s="121">
        <f t="shared" si="10"/>
        <v>63.728251748251743</v>
      </c>
      <c r="P29" s="121">
        <f t="shared" si="13"/>
        <v>15.932062937062936</v>
      </c>
      <c r="Q29" s="118">
        <v>2086.6289999999999</v>
      </c>
      <c r="R29" s="120">
        <f t="shared" si="11"/>
        <v>191.65599999999995</v>
      </c>
      <c r="S29" s="121">
        <f t="shared" ref="S29:S39" si="28">F29/Q29*100</f>
        <v>109.18495813103335</v>
      </c>
      <c r="T29" s="77">
        <f>100-S29</f>
        <v>-9.1849581310333548</v>
      </c>
    </row>
    <row r="30" spans="1:22" s="78" customFormat="1" ht="39" x14ac:dyDescent="0.25">
      <c r="A30" s="74">
        <f t="shared" si="26"/>
        <v>12</v>
      </c>
      <c r="B30" s="131" t="s">
        <v>81</v>
      </c>
      <c r="C30" s="75" t="s">
        <v>80</v>
      </c>
      <c r="D30" s="118">
        <v>560</v>
      </c>
      <c r="E30" s="118">
        <v>410</v>
      </c>
      <c r="F30" s="118">
        <f t="shared" si="12"/>
        <v>86.575000000000003</v>
      </c>
      <c r="G30" s="118">
        <v>79.635000000000005</v>
      </c>
      <c r="H30" s="118">
        <v>6.94</v>
      </c>
      <c r="I30" s="118">
        <v>0</v>
      </c>
      <c r="J30" s="119">
        <v>86</v>
      </c>
      <c r="K30" s="120">
        <f t="shared" si="8"/>
        <v>0.57500000000000284</v>
      </c>
      <c r="L30" s="121">
        <f t="shared" si="27"/>
        <v>100.66860465116278</v>
      </c>
      <c r="M30" s="120">
        <f t="shared" si="14"/>
        <v>140</v>
      </c>
      <c r="N30" s="120">
        <f t="shared" si="9"/>
        <v>-53.424999999999997</v>
      </c>
      <c r="O30" s="121">
        <f t="shared" si="10"/>
        <v>61.839285714285722</v>
      </c>
      <c r="P30" s="121">
        <f t="shared" si="13"/>
        <v>15.459821428571431</v>
      </c>
      <c r="Q30" s="118">
        <v>53.5</v>
      </c>
      <c r="R30" s="120">
        <f t="shared" si="11"/>
        <v>33.075000000000003</v>
      </c>
      <c r="S30" s="121">
        <f t="shared" si="28"/>
        <v>161.82242990654206</v>
      </c>
    </row>
    <row r="31" spans="1:22" s="78" customFormat="1" ht="23.25" x14ac:dyDescent="0.25">
      <c r="A31" s="74">
        <f t="shared" si="26"/>
        <v>13</v>
      </c>
      <c r="B31" s="131" t="s">
        <v>111</v>
      </c>
      <c r="C31" s="75" t="s">
        <v>112</v>
      </c>
      <c r="D31" s="118">
        <v>18563.54</v>
      </c>
      <c r="E31" s="118">
        <v>15000</v>
      </c>
      <c r="F31" s="118">
        <f t="shared" si="12"/>
        <v>4223.857</v>
      </c>
      <c r="G31" s="118">
        <v>1407.4690000000001</v>
      </c>
      <c r="H31" s="118">
        <v>1637.8989999999999</v>
      </c>
      <c r="I31" s="118">
        <v>1178.489</v>
      </c>
      <c r="J31" s="119">
        <v>4100</v>
      </c>
      <c r="K31" s="120">
        <f t="shared" si="8"/>
        <v>123.85699999999997</v>
      </c>
      <c r="L31" s="121">
        <f t="shared" si="27"/>
        <v>103.0209024390244</v>
      </c>
      <c r="M31" s="120">
        <f t="shared" si="14"/>
        <v>4640.8850000000002</v>
      </c>
      <c r="N31" s="120">
        <f t="shared" si="9"/>
        <v>-417.02800000000025</v>
      </c>
      <c r="O31" s="121">
        <f t="shared" si="10"/>
        <v>91.014041502859897</v>
      </c>
      <c r="P31" s="121">
        <f t="shared" si="13"/>
        <v>22.753510375714974</v>
      </c>
      <c r="Q31" s="118">
        <v>4512.2739999999994</v>
      </c>
      <c r="R31" s="120">
        <f t="shared" si="11"/>
        <v>-288.41699999999946</v>
      </c>
      <c r="S31" s="121">
        <f t="shared" si="28"/>
        <v>93.608167411819423</v>
      </c>
    </row>
    <row r="32" spans="1:22" s="78" customFormat="1" ht="59.25" customHeight="1" x14ac:dyDescent="0.25">
      <c r="A32" s="74">
        <f t="shared" si="26"/>
        <v>14</v>
      </c>
      <c r="B32" s="131" t="s">
        <v>154</v>
      </c>
      <c r="C32" s="75" t="s">
        <v>155</v>
      </c>
      <c r="D32" s="118">
        <v>35</v>
      </c>
      <c r="E32" s="118"/>
      <c r="F32" s="118">
        <f t="shared" si="12"/>
        <v>16.411999999999999</v>
      </c>
      <c r="G32" s="118">
        <v>8.39</v>
      </c>
      <c r="H32" s="118">
        <v>6.0720000000000001</v>
      </c>
      <c r="I32" s="118">
        <v>1.95</v>
      </c>
      <c r="J32" s="119">
        <v>16.399999999999999</v>
      </c>
      <c r="K32" s="120">
        <f t="shared" si="8"/>
        <v>1.2000000000000455E-2</v>
      </c>
      <c r="L32" s="121">
        <f t="shared" si="27"/>
        <v>100.07317073170732</v>
      </c>
      <c r="M32" s="120">
        <f t="shared" si="14"/>
        <v>8.75</v>
      </c>
      <c r="N32" s="120">
        <f t="shared" ref="N32" si="29">F32-M32</f>
        <v>7.661999999999999</v>
      </c>
      <c r="O32" s="121">
        <f>F32/M32*100</f>
        <v>187.56571428571428</v>
      </c>
      <c r="P32" s="121">
        <f t="shared" si="13"/>
        <v>46.89142857142857</v>
      </c>
      <c r="Q32" s="118">
        <v>3.319</v>
      </c>
      <c r="R32" s="120">
        <f t="shared" si="11"/>
        <v>13.093</v>
      </c>
      <c r="S32" s="121">
        <f t="shared" si="28"/>
        <v>494.4862910515215</v>
      </c>
    </row>
    <row r="33" spans="1:26" s="78" customFormat="1" ht="23.25" x14ac:dyDescent="0.25">
      <c r="A33" s="74">
        <f t="shared" si="26"/>
        <v>15</v>
      </c>
      <c r="B33" s="131" t="s">
        <v>83</v>
      </c>
      <c r="C33" s="75" t="s">
        <v>82</v>
      </c>
      <c r="D33" s="118">
        <f>SUM(D34:D37)</f>
        <v>34832</v>
      </c>
      <c r="E33" s="118">
        <f>SUM(E34:E37)</f>
        <v>27762.799999999999</v>
      </c>
      <c r="F33" s="118">
        <f t="shared" si="12"/>
        <v>7336.2809999999999</v>
      </c>
      <c r="G33" s="118">
        <f t="shared" ref="G33:J33" si="30">SUM(G34:G37)</f>
        <v>2780.7419999999997</v>
      </c>
      <c r="H33" s="118">
        <f t="shared" ref="H33" si="31">SUM(H34:H37)</f>
        <v>3150.4549999999999</v>
      </c>
      <c r="I33" s="118">
        <f t="shared" si="30"/>
        <v>1405.0839999999998</v>
      </c>
      <c r="J33" s="119">
        <f t="shared" si="30"/>
        <v>7207.3909999999996</v>
      </c>
      <c r="K33" s="120">
        <f t="shared" si="8"/>
        <v>128.89000000000033</v>
      </c>
      <c r="L33" s="121">
        <f t="shared" si="27"/>
        <v>101.78830314603439</v>
      </c>
      <c r="M33" s="120">
        <f t="shared" si="14"/>
        <v>8708</v>
      </c>
      <c r="N33" s="120">
        <f t="shared" si="9"/>
        <v>-1371.7190000000001</v>
      </c>
      <c r="O33" s="121">
        <f t="shared" si="10"/>
        <v>84.247599908130454</v>
      </c>
      <c r="P33" s="121">
        <f t="shared" si="13"/>
        <v>21.061899977032613</v>
      </c>
      <c r="Q33" s="118">
        <f t="shared" ref="Q33" si="32">SUM(Q34:Q37)</f>
        <v>6719.8029999999999</v>
      </c>
      <c r="R33" s="120">
        <f t="shared" si="11"/>
        <v>616.47800000000007</v>
      </c>
      <c r="S33" s="121">
        <f t="shared" si="28"/>
        <v>109.1740487035111</v>
      </c>
    </row>
    <row r="34" spans="1:26" s="82" customFormat="1" ht="39" x14ac:dyDescent="0.25">
      <c r="A34" s="79" t="s">
        <v>171</v>
      </c>
      <c r="B34" s="132" t="s">
        <v>75</v>
      </c>
      <c r="C34" s="172" t="s">
        <v>74</v>
      </c>
      <c r="D34" s="122">
        <v>1500</v>
      </c>
      <c r="E34" s="122">
        <v>1300</v>
      </c>
      <c r="F34" s="122">
        <f t="shared" si="12"/>
        <v>233.03900000000002</v>
      </c>
      <c r="G34" s="122">
        <v>105.29900000000001</v>
      </c>
      <c r="H34" s="122">
        <v>116.64</v>
      </c>
      <c r="I34" s="122">
        <v>11.1</v>
      </c>
      <c r="J34" s="123">
        <v>221</v>
      </c>
      <c r="K34" s="124">
        <f t="shared" si="8"/>
        <v>12.039000000000016</v>
      </c>
      <c r="L34" s="125">
        <f t="shared" si="27"/>
        <v>105.44751131221722</v>
      </c>
      <c r="M34" s="120">
        <f t="shared" si="14"/>
        <v>375</v>
      </c>
      <c r="N34" s="124">
        <f t="shared" si="9"/>
        <v>-141.96099999999998</v>
      </c>
      <c r="O34" s="125">
        <f t="shared" si="10"/>
        <v>62.143733333333337</v>
      </c>
      <c r="P34" s="125">
        <f t="shared" si="13"/>
        <v>15.535933333333334</v>
      </c>
      <c r="Q34" s="122">
        <v>356.71600000000001</v>
      </c>
      <c r="R34" s="124">
        <f t="shared" si="11"/>
        <v>-123.67699999999999</v>
      </c>
      <c r="S34" s="125">
        <f t="shared" si="28"/>
        <v>65.329001222260857</v>
      </c>
      <c r="T34" s="125">
        <f>S34-100</f>
        <v>-34.670998777739143</v>
      </c>
      <c r="U34" s="80"/>
    </row>
    <row r="35" spans="1:26" s="82" customFormat="1" ht="23.25" x14ac:dyDescent="0.25">
      <c r="A35" s="79" t="s">
        <v>172</v>
      </c>
      <c r="B35" s="133" t="s">
        <v>58</v>
      </c>
      <c r="C35" s="67" t="s">
        <v>59</v>
      </c>
      <c r="D35" s="122">
        <v>32000</v>
      </c>
      <c r="E35" s="122">
        <v>24922.799999999999</v>
      </c>
      <c r="F35" s="122">
        <f t="shared" si="12"/>
        <v>6882.0640000000003</v>
      </c>
      <c r="G35" s="122">
        <v>2558.1509999999998</v>
      </c>
      <c r="H35" s="122">
        <v>2929.9290000000001</v>
      </c>
      <c r="I35" s="122">
        <v>1393.9839999999999</v>
      </c>
      <c r="J35" s="123">
        <v>6766.2910000000002</v>
      </c>
      <c r="K35" s="124">
        <f t="shared" si="8"/>
        <v>115.77300000000014</v>
      </c>
      <c r="L35" s="125">
        <f t="shared" si="27"/>
        <v>101.71102602592765</v>
      </c>
      <c r="M35" s="120">
        <f t="shared" si="14"/>
        <v>8000</v>
      </c>
      <c r="N35" s="124">
        <f t="shared" si="9"/>
        <v>-1117.9359999999997</v>
      </c>
      <c r="O35" s="125">
        <f t="shared" si="10"/>
        <v>86.025800000000004</v>
      </c>
      <c r="P35" s="125">
        <f t="shared" si="13"/>
        <v>21.506450000000001</v>
      </c>
      <c r="Q35" s="122">
        <v>5986.6379999999999</v>
      </c>
      <c r="R35" s="124">
        <f t="shared" si="11"/>
        <v>895.42600000000039</v>
      </c>
      <c r="S35" s="125">
        <f t="shared" si="28"/>
        <v>114.95707607508589</v>
      </c>
      <c r="T35" s="125">
        <f>S35-100</f>
        <v>14.957076075085894</v>
      </c>
      <c r="U35" s="81"/>
    </row>
    <row r="36" spans="1:26" s="82" customFormat="1" ht="39" x14ac:dyDescent="0.25">
      <c r="A36" s="79" t="s">
        <v>173</v>
      </c>
      <c r="B36" s="133" t="s">
        <v>79</v>
      </c>
      <c r="C36" s="67" t="s">
        <v>76</v>
      </c>
      <c r="D36" s="122">
        <v>1250</v>
      </c>
      <c r="E36" s="122">
        <v>1400</v>
      </c>
      <c r="F36" s="122">
        <f t="shared" si="12"/>
        <v>204.708</v>
      </c>
      <c r="G36" s="122">
        <v>109.502</v>
      </c>
      <c r="H36" s="122">
        <v>95.206000000000003</v>
      </c>
      <c r="I36" s="122">
        <v>0</v>
      </c>
      <c r="J36" s="123">
        <v>203.7</v>
      </c>
      <c r="K36" s="124">
        <f t="shared" si="8"/>
        <v>1.0080000000000098</v>
      </c>
      <c r="L36" s="125">
        <f t="shared" si="27"/>
        <v>100.49484536082474</v>
      </c>
      <c r="M36" s="120">
        <f t="shared" si="14"/>
        <v>312.5</v>
      </c>
      <c r="N36" s="124">
        <f t="shared" si="9"/>
        <v>-107.792</v>
      </c>
      <c r="O36" s="125">
        <f t="shared" si="10"/>
        <v>65.506560000000007</v>
      </c>
      <c r="P36" s="125">
        <f t="shared" si="13"/>
        <v>16.376640000000002</v>
      </c>
      <c r="Q36" s="122">
        <v>357.32899999999995</v>
      </c>
      <c r="R36" s="124">
        <f t="shared" si="11"/>
        <v>-152.62099999999995</v>
      </c>
      <c r="S36" s="125">
        <f t="shared" si="28"/>
        <v>57.2883812956687</v>
      </c>
    </row>
    <row r="37" spans="1:26" s="82" customFormat="1" ht="97.5" x14ac:dyDescent="0.25">
      <c r="A37" s="79" t="s">
        <v>174</v>
      </c>
      <c r="B37" s="134" t="s">
        <v>78</v>
      </c>
      <c r="C37" s="67" t="s">
        <v>77</v>
      </c>
      <c r="D37" s="122">
        <v>82</v>
      </c>
      <c r="E37" s="122">
        <v>140</v>
      </c>
      <c r="F37" s="122">
        <f t="shared" si="12"/>
        <v>16.47</v>
      </c>
      <c r="G37" s="122">
        <v>7.79</v>
      </c>
      <c r="H37" s="122">
        <v>8.68</v>
      </c>
      <c r="I37" s="122">
        <v>0</v>
      </c>
      <c r="J37" s="123">
        <v>16.399999999999999</v>
      </c>
      <c r="K37" s="124">
        <f t="shared" si="8"/>
        <v>7.0000000000000284E-2</v>
      </c>
      <c r="L37" s="125">
        <f t="shared" si="27"/>
        <v>100.42682926829269</v>
      </c>
      <c r="M37" s="120">
        <f t="shared" si="14"/>
        <v>20.5</v>
      </c>
      <c r="N37" s="124">
        <f t="shared" si="9"/>
        <v>-4.0300000000000011</v>
      </c>
      <c r="O37" s="125">
        <f t="shared" si="10"/>
        <v>80.341463414634134</v>
      </c>
      <c r="P37" s="125">
        <f t="shared" si="13"/>
        <v>20.085365853658534</v>
      </c>
      <c r="Q37" s="122">
        <v>19.12</v>
      </c>
      <c r="R37" s="124">
        <f t="shared" si="11"/>
        <v>-2.6500000000000021</v>
      </c>
      <c r="S37" s="125">
        <f t="shared" si="28"/>
        <v>86.140167364016733</v>
      </c>
    </row>
    <row r="38" spans="1:26" s="78" customFormat="1" ht="39" x14ac:dyDescent="0.25">
      <c r="A38" s="74">
        <v>16</v>
      </c>
      <c r="B38" s="135" t="s">
        <v>34</v>
      </c>
      <c r="C38" s="75" t="s">
        <v>19</v>
      </c>
      <c r="D38" s="118">
        <v>12300</v>
      </c>
      <c r="E38" s="118">
        <v>12000</v>
      </c>
      <c r="F38" s="118">
        <f t="shared" si="12"/>
        <v>2923.6280000000002</v>
      </c>
      <c r="G38" s="118">
        <v>1496.537</v>
      </c>
      <c r="H38" s="118">
        <v>908.923</v>
      </c>
      <c r="I38" s="118">
        <v>518.16800000000001</v>
      </c>
      <c r="J38" s="119">
        <v>2913.5</v>
      </c>
      <c r="K38" s="120">
        <f t="shared" si="8"/>
        <v>10.128000000000156</v>
      </c>
      <c r="L38" s="121">
        <f t="shared" si="27"/>
        <v>100.34762313368802</v>
      </c>
      <c r="M38" s="120">
        <f t="shared" si="14"/>
        <v>3075</v>
      </c>
      <c r="N38" s="120">
        <f t="shared" si="9"/>
        <v>-151.37199999999984</v>
      </c>
      <c r="O38" s="121">
        <f t="shared" si="10"/>
        <v>95.077333333333343</v>
      </c>
      <c r="P38" s="121">
        <f t="shared" si="13"/>
        <v>23.769333333333336</v>
      </c>
      <c r="Q38" s="118">
        <v>2852.6040000000003</v>
      </c>
      <c r="R38" s="120">
        <f t="shared" si="11"/>
        <v>71.023999999999887</v>
      </c>
      <c r="S38" s="121">
        <f t="shared" si="28"/>
        <v>102.48979528879578</v>
      </c>
    </row>
    <row r="39" spans="1:26" s="78" customFormat="1" ht="23.25" x14ac:dyDescent="0.25">
      <c r="A39" s="74">
        <f t="shared" ref="A39:A45" si="33">A38+1</f>
        <v>17</v>
      </c>
      <c r="B39" s="83" t="s">
        <v>53</v>
      </c>
      <c r="C39" s="75" t="s">
        <v>15</v>
      </c>
      <c r="D39" s="118">
        <v>600</v>
      </c>
      <c r="E39" s="118">
        <v>600.5</v>
      </c>
      <c r="F39" s="118">
        <f t="shared" si="12"/>
        <v>91.128</v>
      </c>
      <c r="G39" s="118">
        <v>46.207000000000001</v>
      </c>
      <c r="H39" s="118">
        <v>38.993000000000002</v>
      </c>
      <c r="I39" s="118">
        <v>5.9279999999999999</v>
      </c>
      <c r="J39" s="119">
        <v>86.100999999999999</v>
      </c>
      <c r="K39" s="120">
        <f t="shared" si="8"/>
        <v>5.027000000000001</v>
      </c>
      <c r="L39" s="121">
        <f t="shared" si="27"/>
        <v>105.8384920035772</v>
      </c>
      <c r="M39" s="120">
        <f t="shared" si="14"/>
        <v>150</v>
      </c>
      <c r="N39" s="120">
        <f t="shared" si="9"/>
        <v>-58.872</v>
      </c>
      <c r="O39" s="121">
        <f t="shared" si="10"/>
        <v>60.751999999999995</v>
      </c>
      <c r="P39" s="121">
        <f t="shared" si="13"/>
        <v>15.187999999999999</v>
      </c>
      <c r="Q39" s="118">
        <v>113.398</v>
      </c>
      <c r="R39" s="120">
        <f t="shared" si="11"/>
        <v>-22.269999999999996</v>
      </c>
      <c r="S39" s="121">
        <f t="shared" si="28"/>
        <v>80.361205665002913</v>
      </c>
      <c r="T39" s="77">
        <f>100-S39</f>
        <v>19.638794334997087</v>
      </c>
    </row>
    <row r="40" spans="1:26" s="78" customFormat="1" ht="78" x14ac:dyDescent="0.25">
      <c r="A40" s="74">
        <f t="shared" si="33"/>
        <v>18</v>
      </c>
      <c r="B40" s="83" t="s">
        <v>99</v>
      </c>
      <c r="C40" s="75" t="s">
        <v>98</v>
      </c>
      <c r="D40" s="118">
        <v>2.6</v>
      </c>
      <c r="E40" s="118">
        <v>2.5499999999999998</v>
      </c>
      <c r="F40" s="118">
        <f t="shared" si="12"/>
        <v>0</v>
      </c>
      <c r="G40" s="118">
        <v>0</v>
      </c>
      <c r="H40" s="118">
        <v>0</v>
      </c>
      <c r="I40" s="118">
        <v>0</v>
      </c>
      <c r="J40" s="119">
        <v>0</v>
      </c>
      <c r="K40" s="120">
        <f t="shared" si="8"/>
        <v>0</v>
      </c>
      <c r="L40" s="121"/>
      <c r="M40" s="120">
        <f t="shared" si="14"/>
        <v>0.65</v>
      </c>
      <c r="N40" s="120">
        <f t="shared" si="9"/>
        <v>-0.65</v>
      </c>
      <c r="O40" s="121"/>
      <c r="P40" s="121">
        <f t="shared" si="13"/>
        <v>0</v>
      </c>
      <c r="Q40" s="118">
        <v>0</v>
      </c>
      <c r="R40" s="120">
        <f t="shared" si="11"/>
        <v>0</v>
      </c>
      <c r="S40" s="121"/>
    </row>
    <row r="41" spans="1:26" s="78" customFormat="1" ht="23.25" x14ac:dyDescent="0.25">
      <c r="A41" s="74">
        <f t="shared" si="33"/>
        <v>19</v>
      </c>
      <c r="B41" s="106" t="s">
        <v>60</v>
      </c>
      <c r="C41" s="33" t="s">
        <v>61</v>
      </c>
      <c r="D41" s="118">
        <v>235</v>
      </c>
      <c r="E41" s="118">
        <v>70</v>
      </c>
      <c r="F41" s="118">
        <f t="shared" si="12"/>
        <v>0</v>
      </c>
      <c r="G41" s="118">
        <v>0</v>
      </c>
      <c r="H41" s="118">
        <v>0</v>
      </c>
      <c r="I41" s="118">
        <v>0</v>
      </c>
      <c r="J41" s="119">
        <v>0</v>
      </c>
      <c r="K41" s="120">
        <f t="shared" si="8"/>
        <v>0</v>
      </c>
      <c r="L41" s="121"/>
      <c r="M41" s="120">
        <f t="shared" si="14"/>
        <v>58.75</v>
      </c>
      <c r="N41" s="120">
        <f t="shared" si="9"/>
        <v>-58.75</v>
      </c>
      <c r="O41" s="121">
        <f t="shared" ref="O41:O47" si="34">F41/M41*100</f>
        <v>0</v>
      </c>
      <c r="P41" s="121">
        <f t="shared" si="13"/>
        <v>0</v>
      </c>
      <c r="Q41" s="118">
        <v>0</v>
      </c>
      <c r="R41" s="120">
        <f t="shared" si="11"/>
        <v>0</v>
      </c>
      <c r="S41" s="121"/>
    </row>
    <row r="42" spans="1:26" s="78" customFormat="1" ht="23.25" x14ac:dyDescent="0.25">
      <c r="A42" s="74">
        <f t="shared" si="33"/>
        <v>20</v>
      </c>
      <c r="B42" s="83" t="s">
        <v>8</v>
      </c>
      <c r="C42" s="75" t="s">
        <v>20</v>
      </c>
      <c r="D42" s="118">
        <v>1700</v>
      </c>
      <c r="E42" s="118">
        <v>1400</v>
      </c>
      <c r="F42" s="118">
        <f t="shared" si="12"/>
        <v>397.84300000000002</v>
      </c>
      <c r="G42" s="118">
        <v>229.78800000000001</v>
      </c>
      <c r="H42" s="118">
        <v>139.07599999999999</v>
      </c>
      <c r="I42" s="118">
        <v>28.978999999999999</v>
      </c>
      <c r="J42" s="119">
        <v>380</v>
      </c>
      <c r="K42" s="120">
        <f t="shared" ref="K42:K57" si="35">F42-J42</f>
        <v>17.843000000000018</v>
      </c>
      <c r="L42" s="121">
        <f>F42/J42*100</f>
        <v>104.69552631578949</v>
      </c>
      <c r="M42" s="120">
        <f t="shared" si="14"/>
        <v>425</v>
      </c>
      <c r="N42" s="120">
        <f t="shared" ref="N42:N57" si="36">F42-M42</f>
        <v>-27.156999999999982</v>
      </c>
      <c r="O42" s="121">
        <f t="shared" si="34"/>
        <v>93.610117647058829</v>
      </c>
      <c r="P42" s="121">
        <f t="shared" si="13"/>
        <v>23.402529411764707</v>
      </c>
      <c r="Q42" s="118">
        <v>462.09800000000001</v>
      </c>
      <c r="R42" s="120">
        <f t="shared" ref="R42:R57" si="37">F42-Q42</f>
        <v>-64.254999999999995</v>
      </c>
      <c r="S42" s="121">
        <f>F42/Q42*100</f>
        <v>86.094940899982248</v>
      </c>
      <c r="W42" s="78">
        <v>246438.04</v>
      </c>
    </row>
    <row r="43" spans="1:26" s="78" customFormat="1" ht="119.25" customHeight="1" x14ac:dyDescent="0.25">
      <c r="A43" s="74">
        <f t="shared" si="33"/>
        <v>21</v>
      </c>
      <c r="B43" s="83" t="s">
        <v>52</v>
      </c>
      <c r="C43" s="75" t="s">
        <v>46</v>
      </c>
      <c r="D43" s="118">
        <v>1000</v>
      </c>
      <c r="E43" s="118">
        <v>1000</v>
      </c>
      <c r="F43" s="118">
        <f t="shared" si="12"/>
        <v>261.923</v>
      </c>
      <c r="G43" s="118">
        <v>162.79300000000001</v>
      </c>
      <c r="H43" s="118">
        <v>1.9590000000000001</v>
      </c>
      <c r="I43" s="118">
        <v>97.171000000000006</v>
      </c>
      <c r="J43" s="119">
        <v>261.7</v>
      </c>
      <c r="K43" s="120">
        <f t="shared" si="35"/>
        <v>0.22300000000001319</v>
      </c>
      <c r="L43" s="121">
        <f>F43/J43*100</f>
        <v>100.08521207489491</v>
      </c>
      <c r="M43" s="120">
        <f t="shared" si="14"/>
        <v>250</v>
      </c>
      <c r="N43" s="120">
        <f t="shared" si="36"/>
        <v>11.923000000000002</v>
      </c>
      <c r="O43" s="121">
        <f t="shared" si="34"/>
        <v>104.76920000000001</v>
      </c>
      <c r="P43" s="121">
        <f t="shared" si="13"/>
        <v>26.192300000000003</v>
      </c>
      <c r="Q43" s="118">
        <v>330.303</v>
      </c>
      <c r="R43" s="120">
        <f t="shared" si="37"/>
        <v>-68.38</v>
      </c>
      <c r="S43" s="121">
        <f>F43/Q43*100</f>
        <v>79.297796265852867</v>
      </c>
    </row>
    <row r="44" spans="1:26" s="78" customFormat="1" ht="58.5" x14ac:dyDescent="0.25">
      <c r="A44" s="74">
        <f t="shared" si="33"/>
        <v>22</v>
      </c>
      <c r="B44" s="83" t="s">
        <v>127</v>
      </c>
      <c r="C44" s="75" t="s">
        <v>126</v>
      </c>
      <c r="D44" s="118">
        <v>1</v>
      </c>
      <c r="E44" s="118">
        <v>15</v>
      </c>
      <c r="F44" s="118">
        <f t="shared" si="12"/>
        <v>0</v>
      </c>
      <c r="G44" s="118">
        <v>0</v>
      </c>
      <c r="H44" s="118">
        <v>0</v>
      </c>
      <c r="I44" s="118">
        <v>0</v>
      </c>
      <c r="J44" s="119">
        <v>0</v>
      </c>
      <c r="K44" s="120">
        <f t="shared" si="35"/>
        <v>0</v>
      </c>
      <c r="L44" s="121"/>
      <c r="M44" s="120">
        <f t="shared" si="14"/>
        <v>0.25</v>
      </c>
      <c r="N44" s="120">
        <f t="shared" si="36"/>
        <v>-0.25</v>
      </c>
      <c r="O44" s="121">
        <f t="shared" si="34"/>
        <v>0</v>
      </c>
      <c r="P44" s="121">
        <f t="shared" si="13"/>
        <v>0</v>
      </c>
      <c r="Q44" s="118">
        <v>0</v>
      </c>
      <c r="R44" s="120">
        <f t="shared" si="37"/>
        <v>0</v>
      </c>
      <c r="S44" s="121"/>
      <c r="U44" s="76">
        <f>F46-F42</f>
        <v>984680.10699999996</v>
      </c>
      <c r="V44" s="76">
        <f>Q46-Q42</f>
        <v>818938.37799999991</v>
      </c>
      <c r="W44" s="77">
        <f>U44/V44</f>
        <v>1.2023860811173268</v>
      </c>
    </row>
    <row r="45" spans="1:26" s="78" customFormat="1" ht="39" x14ac:dyDescent="0.25">
      <c r="A45" s="74">
        <f t="shared" si="33"/>
        <v>23</v>
      </c>
      <c r="B45" s="83" t="s">
        <v>85</v>
      </c>
      <c r="C45" s="75" t="s">
        <v>84</v>
      </c>
      <c r="D45" s="118">
        <v>1</v>
      </c>
      <c r="E45" s="118">
        <v>4.4000000000000004</v>
      </c>
      <c r="F45" s="118">
        <f t="shared" si="12"/>
        <v>0</v>
      </c>
      <c r="G45" s="118">
        <v>0</v>
      </c>
      <c r="H45" s="118">
        <v>0</v>
      </c>
      <c r="I45" s="118">
        <v>0</v>
      </c>
      <c r="J45" s="119">
        <v>0</v>
      </c>
      <c r="K45" s="120">
        <f t="shared" si="35"/>
        <v>0</v>
      </c>
      <c r="L45" s="121"/>
      <c r="M45" s="120">
        <f t="shared" si="14"/>
        <v>0.25</v>
      </c>
      <c r="N45" s="120">
        <f t="shared" si="36"/>
        <v>-0.25</v>
      </c>
      <c r="O45" s="121">
        <f t="shared" si="34"/>
        <v>0</v>
      </c>
      <c r="P45" s="121">
        <f t="shared" si="13"/>
        <v>0</v>
      </c>
      <c r="Q45" s="118">
        <v>0</v>
      </c>
      <c r="R45" s="120">
        <f t="shared" si="37"/>
        <v>0</v>
      </c>
      <c r="S45" s="121"/>
    </row>
    <row r="46" spans="1:26" s="89" customFormat="1" ht="31.5" customHeight="1" x14ac:dyDescent="0.3">
      <c r="A46" s="84"/>
      <c r="B46" s="85" t="s">
        <v>158</v>
      </c>
      <c r="C46" s="86"/>
      <c r="D46" s="86">
        <f>D7+D8+D9+D14+D19+D25+D26+D27+D28+D29+D30+D31+D33+D38+D39+D40+D41+D42+D43+D45+D44+D32</f>
        <v>4389459.9849999994</v>
      </c>
      <c r="E46" s="86">
        <f>E7+E8+E9+E14+E19+E25+E26+E27+E28+E29+E30+E31+E33+E38+E39+E40+E41+E42+E43+E45+E44</f>
        <v>3751621.3889999995</v>
      </c>
      <c r="F46" s="86">
        <f>SUM(G46:I46)</f>
        <v>985077.95</v>
      </c>
      <c r="G46" s="86">
        <f>G7+G8+G9+G14+G19+G25+G26+G27+G28+G29+G30+G31+G33+G38+G39+G40+G41+G42+G43+G45+G44+G32</f>
        <v>303539.72700000007</v>
      </c>
      <c r="H46" s="86">
        <f>H7+H8+H9+H14+H19+H25+H26+H27+H28+H29+H30+H31+H33+H38+H39+H40+H41+H42+H43+H45+H44+H32+H18</f>
        <v>382603.97200000001</v>
      </c>
      <c r="I46" s="86">
        <f>I7+I8+I9+I14+I19+I25+I26+I27+I28+I29+I30+I31+I33+I38+I39+I40+I41+I42+I43+I45+I44+I32+I18</f>
        <v>298934.25099999999</v>
      </c>
      <c r="J46" s="86">
        <f>J7+J8+J9+J14+J19+J25+J26+J27+J28+J29+J30+J31+J33+J38+J39+J40+J41+J42+J43+J45+J44+J32</f>
        <v>961901.86300000001</v>
      </c>
      <c r="K46" s="87">
        <f t="shared" si="35"/>
        <v>23176.086999999941</v>
      </c>
      <c r="L46" s="88">
        <f>F46/J46*100</f>
        <v>102.40940244441548</v>
      </c>
      <c r="M46" s="86">
        <f>M7+M8+M9+M14+M19+M25+M26+M27+M28+M29+M30+M31+M33+M38+M39+M40+M41+M42+M43+M45+M44+M32</f>
        <v>1097364.9962499999</v>
      </c>
      <c r="N46" s="87">
        <f t="shared" si="36"/>
        <v>-112287.0462499999</v>
      </c>
      <c r="O46" s="88">
        <f t="shared" si="34"/>
        <v>89.767575361550996</v>
      </c>
      <c r="P46" s="88">
        <f t="shared" si="13"/>
        <v>22.441893840387749</v>
      </c>
      <c r="Q46" s="86">
        <f>Q7+Q8+Q9+Q14+Q19+Q25+Q26+Q27+Q28+Q29+Q30+Q31+Q33+Q38+Q39+Q40+Q41+Q42+Q43+Q45+Q44+Q32</f>
        <v>819400.47599999991</v>
      </c>
      <c r="R46" s="87">
        <f t="shared" si="37"/>
        <v>165677.47400000005</v>
      </c>
      <c r="S46" s="88">
        <f>F46/Q46*100</f>
        <v>120.21935291138396</v>
      </c>
      <c r="T46" s="90">
        <v>819400.47599999991</v>
      </c>
      <c r="U46" s="90">
        <f>T46-Q46</f>
        <v>0</v>
      </c>
      <c r="X46" s="90" t="e">
        <f>#REF!-#REF!-#REF!</f>
        <v>#REF!</v>
      </c>
      <c r="Z46" s="89">
        <v>294547.38299999997</v>
      </c>
    </row>
    <row r="47" spans="1:26" s="10" customFormat="1" ht="36.75" customHeight="1" x14ac:dyDescent="0.25">
      <c r="A47" s="24">
        <v>1</v>
      </c>
      <c r="B47" s="60" t="s">
        <v>128</v>
      </c>
      <c r="C47" s="25" t="s">
        <v>54</v>
      </c>
      <c r="D47" s="126">
        <v>855684.1</v>
      </c>
      <c r="E47" s="126">
        <v>717803.4</v>
      </c>
      <c r="F47" s="118">
        <f t="shared" si="12"/>
        <v>197663.09999999998</v>
      </c>
      <c r="G47" s="118">
        <v>65887.7</v>
      </c>
      <c r="H47" s="118">
        <v>65887.7</v>
      </c>
      <c r="I47" s="118">
        <v>65887.7</v>
      </c>
      <c r="J47" s="118">
        <v>197663.1</v>
      </c>
      <c r="K47" s="120">
        <f t="shared" si="35"/>
        <v>0</v>
      </c>
      <c r="L47" s="121">
        <f>F47/J47*100</f>
        <v>99.999999999999986</v>
      </c>
      <c r="M47" s="118">
        <f>D47</f>
        <v>855684.1</v>
      </c>
      <c r="N47" s="120">
        <f t="shared" si="36"/>
        <v>-658021</v>
      </c>
      <c r="O47" s="121">
        <f t="shared" si="34"/>
        <v>23.100008519499191</v>
      </c>
      <c r="P47" s="121">
        <f t="shared" si="13"/>
        <v>23.100008519499191</v>
      </c>
      <c r="Q47" s="118">
        <v>151597.90000000002</v>
      </c>
      <c r="R47" s="120">
        <f t="shared" si="37"/>
        <v>46065.199999999953</v>
      </c>
      <c r="S47" s="121">
        <f>F47/Q47*100</f>
        <v>130.38643675143254</v>
      </c>
      <c r="T47" s="43"/>
      <c r="U47" s="43"/>
      <c r="V47" s="43"/>
      <c r="W47" s="45"/>
    </row>
    <row r="48" spans="1:26" s="10" customFormat="1" ht="58.5" x14ac:dyDescent="0.25">
      <c r="A48" s="24">
        <f>A47+1</f>
        <v>2</v>
      </c>
      <c r="B48" s="139" t="s">
        <v>129</v>
      </c>
      <c r="C48" s="141" t="s">
        <v>113</v>
      </c>
      <c r="D48" s="126">
        <v>29000</v>
      </c>
      <c r="E48" s="126">
        <v>0</v>
      </c>
      <c r="F48" s="118">
        <f t="shared" si="12"/>
        <v>7250.0999999999995</v>
      </c>
      <c r="G48" s="118">
        <v>2416.6999999999998</v>
      </c>
      <c r="H48" s="118">
        <v>2416.6999999999998</v>
      </c>
      <c r="I48" s="118">
        <v>2416.6999999999998</v>
      </c>
      <c r="J48" s="118">
        <v>7250.1</v>
      </c>
      <c r="K48" s="120">
        <f t="shared" si="35"/>
        <v>0</v>
      </c>
      <c r="L48" s="121">
        <f>F48/J48*100</f>
        <v>99.999999999999986</v>
      </c>
      <c r="M48" s="118">
        <f t="shared" ref="M48:M51" si="38">D48</f>
        <v>29000</v>
      </c>
      <c r="N48" s="120">
        <f t="shared" si="36"/>
        <v>-21749.9</v>
      </c>
      <c r="O48" s="121">
        <f t="shared" ref="O48" si="39">F48/M48*100</f>
        <v>25.000344827586208</v>
      </c>
      <c r="P48" s="121">
        <f t="shared" ref="P48" si="40">F48/D48*100</f>
        <v>25.000344827586208</v>
      </c>
      <c r="Q48" s="118">
        <v>0</v>
      </c>
      <c r="R48" s="120">
        <f t="shared" si="37"/>
        <v>7250.0999999999995</v>
      </c>
      <c r="S48" s="121"/>
      <c r="T48" s="43"/>
      <c r="U48" s="43"/>
      <c r="V48" s="43"/>
      <c r="W48" s="45"/>
    </row>
    <row r="49" spans="1:21" s="10" customFormat="1" ht="39" x14ac:dyDescent="0.25">
      <c r="A49" s="24">
        <f t="shared" ref="A49:A51" si="41">A48+1</f>
        <v>3</v>
      </c>
      <c r="B49" s="139" t="s">
        <v>132</v>
      </c>
      <c r="C49" s="141" t="s">
        <v>122</v>
      </c>
      <c r="D49" s="126">
        <v>16764.740000000002</v>
      </c>
      <c r="E49" s="126">
        <v>11474.77</v>
      </c>
      <c r="F49" s="118">
        <f t="shared" si="12"/>
        <v>3872.6590000000001</v>
      </c>
      <c r="G49" s="118">
        <v>1290.8869999999999</v>
      </c>
      <c r="H49" s="118">
        <v>1290.886</v>
      </c>
      <c r="I49" s="118">
        <v>1290.886</v>
      </c>
      <c r="J49" s="119">
        <v>3872.6590000000001</v>
      </c>
      <c r="K49" s="120">
        <f t="shared" si="35"/>
        <v>0</v>
      </c>
      <c r="L49" s="121">
        <f>F49/J49*100</f>
        <v>100</v>
      </c>
      <c r="M49" s="118">
        <f t="shared" si="38"/>
        <v>16764.740000000002</v>
      </c>
      <c r="N49" s="120">
        <f t="shared" si="36"/>
        <v>-12892.081000000002</v>
      </c>
      <c r="O49" s="121">
        <f>F49/M49*100</f>
        <v>23.100024217494575</v>
      </c>
      <c r="P49" s="121">
        <f t="shared" si="13"/>
        <v>23.100024217494575</v>
      </c>
      <c r="Q49" s="118">
        <v>2423.4380000000001</v>
      </c>
      <c r="R49" s="120">
        <f t="shared" si="37"/>
        <v>1449.221</v>
      </c>
      <c r="S49" s="121">
        <f>F49/Q49*100</f>
        <v>159.80020945450224</v>
      </c>
    </row>
    <row r="50" spans="1:21" s="10" customFormat="1" ht="58.5" x14ac:dyDescent="0.25">
      <c r="A50" s="24">
        <f t="shared" si="41"/>
        <v>4</v>
      </c>
      <c r="B50" s="139" t="s">
        <v>133</v>
      </c>
      <c r="C50" s="141">
        <v>41051200</v>
      </c>
      <c r="D50" s="126">
        <v>3718.5</v>
      </c>
      <c r="E50" s="126">
        <v>4100.6319999999996</v>
      </c>
      <c r="F50" s="118">
        <f t="shared" si="12"/>
        <v>543.67499999999995</v>
      </c>
      <c r="G50" s="118">
        <v>82.944999999999993</v>
      </c>
      <c r="H50" s="118">
        <v>230.36500000000001</v>
      </c>
      <c r="I50" s="118">
        <v>230.36500000000001</v>
      </c>
      <c r="J50" s="119">
        <v>622.57500000000005</v>
      </c>
      <c r="K50" s="120">
        <f t="shared" si="35"/>
        <v>-78.900000000000091</v>
      </c>
      <c r="L50" s="121">
        <f>F50/J50*100</f>
        <v>87.326828093000827</v>
      </c>
      <c r="M50" s="118">
        <f t="shared" si="38"/>
        <v>3718.5</v>
      </c>
      <c r="N50" s="120">
        <f t="shared" si="36"/>
        <v>-3174.8249999999998</v>
      </c>
      <c r="O50" s="121">
        <f>F50/M50*100</f>
        <v>14.62081484469544</v>
      </c>
      <c r="P50" s="121">
        <f t="shared" si="13"/>
        <v>14.62081484469544</v>
      </c>
      <c r="Q50" s="118">
        <v>609.68700000000001</v>
      </c>
      <c r="R50" s="120">
        <f t="shared" si="37"/>
        <v>-66.012000000000057</v>
      </c>
      <c r="S50" s="121">
        <f>F50/Q50*100</f>
        <v>89.172805062269646</v>
      </c>
    </row>
    <row r="51" spans="1:21" s="10" customFormat="1" ht="58.5" x14ac:dyDescent="0.25">
      <c r="A51" s="24">
        <f t="shared" si="41"/>
        <v>5</v>
      </c>
      <c r="B51" s="142" t="s">
        <v>145</v>
      </c>
      <c r="C51" s="141" t="s">
        <v>131</v>
      </c>
      <c r="D51" s="126">
        <v>0</v>
      </c>
      <c r="E51" s="126">
        <v>7100</v>
      </c>
      <c r="F51" s="118">
        <f t="shared" si="12"/>
        <v>0</v>
      </c>
      <c r="G51" s="118">
        <v>0</v>
      </c>
      <c r="H51" s="118">
        <v>0</v>
      </c>
      <c r="I51" s="118">
        <v>0</v>
      </c>
      <c r="J51" s="119">
        <v>0</v>
      </c>
      <c r="K51" s="120">
        <f t="shared" si="35"/>
        <v>0</v>
      </c>
      <c r="L51" s="121"/>
      <c r="M51" s="118">
        <f t="shared" si="38"/>
        <v>0</v>
      </c>
      <c r="N51" s="120">
        <f t="shared" si="36"/>
        <v>0</v>
      </c>
      <c r="O51" s="121"/>
      <c r="P51" s="121"/>
      <c r="Q51" s="118">
        <v>3549.9990000000003</v>
      </c>
      <c r="R51" s="120">
        <f t="shared" si="37"/>
        <v>-3549.9990000000003</v>
      </c>
      <c r="S51" s="121"/>
      <c r="T51" s="118"/>
      <c r="U51" s="118"/>
    </row>
    <row r="52" spans="1:21" s="10" customFormat="1" ht="23.25" x14ac:dyDescent="0.25">
      <c r="A52" s="24">
        <v>6</v>
      </c>
      <c r="B52" s="142" t="s">
        <v>130</v>
      </c>
      <c r="C52" s="141" t="s">
        <v>114</v>
      </c>
      <c r="D52" s="126">
        <f>SUM(D53:D56)</f>
        <v>4144</v>
      </c>
      <c r="E52" s="126">
        <f>SUM(E53:E56)</f>
        <v>3644</v>
      </c>
      <c r="F52" s="118">
        <f t="shared" si="12"/>
        <v>71.929000000000002</v>
      </c>
      <c r="G52" s="118">
        <f>SUM(G53:G56)</f>
        <v>0</v>
      </c>
      <c r="H52" s="118">
        <f>SUM(H53:H56)</f>
        <v>69.319000000000003</v>
      </c>
      <c r="I52" s="118">
        <f>SUM(I53:I56)</f>
        <v>2.61</v>
      </c>
      <c r="J52" s="118">
        <f>SUM(J53:J56)</f>
        <v>819.99</v>
      </c>
      <c r="K52" s="120">
        <f t="shared" si="35"/>
        <v>-748.06100000000004</v>
      </c>
      <c r="L52" s="121">
        <f t="shared" ref="L52:L56" si="42">F52/J52*100</f>
        <v>8.7719362431249159</v>
      </c>
      <c r="M52" s="118">
        <f t="shared" ref="M52" si="43">J52</f>
        <v>819.99</v>
      </c>
      <c r="N52" s="120">
        <f t="shared" si="36"/>
        <v>-748.06100000000004</v>
      </c>
      <c r="O52" s="121">
        <f t="shared" ref="O52:O56" si="44">F52/M52*100</f>
        <v>8.7719362431249159</v>
      </c>
      <c r="P52" s="121">
        <f t="shared" si="13"/>
        <v>1.7357384169884169</v>
      </c>
      <c r="Q52" s="118">
        <f>SUM(Q53:Q57)</f>
        <v>523.29099999999994</v>
      </c>
      <c r="R52" s="120">
        <f t="shared" si="37"/>
        <v>-451.36199999999997</v>
      </c>
      <c r="S52" s="121">
        <f>F52/Q52*100</f>
        <v>13.745506802142597</v>
      </c>
      <c r="T52" s="118">
        <v>5098.8379999999997</v>
      </c>
      <c r="U52" s="118">
        <f>T52-Q52</f>
        <v>4575.5469999999996</v>
      </c>
    </row>
    <row r="53" spans="1:21" s="42" customFormat="1" ht="40.5" x14ac:dyDescent="0.25">
      <c r="A53" s="41" t="s">
        <v>135</v>
      </c>
      <c r="B53" s="140" t="s">
        <v>146</v>
      </c>
      <c r="C53" s="105"/>
      <c r="D53" s="127">
        <v>105</v>
      </c>
      <c r="E53" s="127">
        <v>105</v>
      </c>
      <c r="F53" s="122">
        <f t="shared" si="12"/>
        <v>13.344999999999999</v>
      </c>
      <c r="G53" s="122">
        <v>0</v>
      </c>
      <c r="H53" s="122">
        <v>10.734999999999999</v>
      </c>
      <c r="I53" s="122">
        <v>2.61</v>
      </c>
      <c r="J53" s="123">
        <v>26.256</v>
      </c>
      <c r="K53" s="124">
        <f t="shared" si="35"/>
        <v>-12.911000000000001</v>
      </c>
      <c r="L53" s="125">
        <f t="shared" si="42"/>
        <v>50.826477757464957</v>
      </c>
      <c r="M53" s="122">
        <f t="shared" ref="M53:M56" si="45">D53</f>
        <v>105</v>
      </c>
      <c r="N53" s="124">
        <f t="shared" si="36"/>
        <v>-91.655000000000001</v>
      </c>
      <c r="O53" s="125">
        <f t="shared" si="44"/>
        <v>12.709523809523809</v>
      </c>
      <c r="P53" s="125">
        <f t="shared" si="13"/>
        <v>12.709523809523809</v>
      </c>
      <c r="Q53" s="122">
        <v>26.256</v>
      </c>
      <c r="R53" s="124">
        <f t="shared" si="37"/>
        <v>-12.911000000000001</v>
      </c>
      <c r="S53" s="125">
        <f t="shared" ref="S53:S54" si="46">F53/Q53*100</f>
        <v>50.826477757464957</v>
      </c>
    </row>
    <row r="54" spans="1:21" s="42" customFormat="1" ht="40.5" x14ac:dyDescent="0.25">
      <c r="A54" s="41" t="s">
        <v>136</v>
      </c>
      <c r="B54" s="140" t="s">
        <v>147</v>
      </c>
      <c r="C54" s="105"/>
      <c r="D54" s="127">
        <v>1246.7</v>
      </c>
      <c r="E54" s="127">
        <v>1246.7</v>
      </c>
      <c r="F54" s="122">
        <f t="shared" si="12"/>
        <v>58.584000000000003</v>
      </c>
      <c r="G54" s="122">
        <v>0</v>
      </c>
      <c r="H54" s="122">
        <v>58.584000000000003</v>
      </c>
      <c r="I54" s="122">
        <v>0</v>
      </c>
      <c r="J54" s="123">
        <v>124.298</v>
      </c>
      <c r="K54" s="124">
        <f t="shared" si="35"/>
        <v>-65.713999999999999</v>
      </c>
      <c r="L54" s="125">
        <f t="shared" si="42"/>
        <v>47.131892709456309</v>
      </c>
      <c r="M54" s="122">
        <f t="shared" si="45"/>
        <v>1246.7</v>
      </c>
      <c r="N54" s="124">
        <f t="shared" si="36"/>
        <v>-1188.116</v>
      </c>
      <c r="O54" s="125">
        <f t="shared" si="44"/>
        <v>4.6991256918264215</v>
      </c>
      <c r="P54" s="125">
        <f t="shared" si="13"/>
        <v>4.6991256918264215</v>
      </c>
      <c r="Q54" s="122">
        <v>119.259</v>
      </c>
      <c r="R54" s="124">
        <f t="shared" si="37"/>
        <v>-60.674999999999997</v>
      </c>
      <c r="S54" s="125">
        <f t="shared" si="46"/>
        <v>49.123336603526781</v>
      </c>
    </row>
    <row r="55" spans="1:21" s="42" customFormat="1" ht="60" x14ac:dyDescent="0.25">
      <c r="A55" s="41" t="s">
        <v>137</v>
      </c>
      <c r="B55" s="140" t="s">
        <v>148</v>
      </c>
      <c r="C55" s="105"/>
      <c r="D55" s="127">
        <v>292.3</v>
      </c>
      <c r="E55" s="127">
        <v>292.3</v>
      </c>
      <c r="F55" s="122">
        <f t="shared" si="12"/>
        <v>0</v>
      </c>
      <c r="G55" s="122">
        <v>0</v>
      </c>
      <c r="H55" s="122">
        <v>0</v>
      </c>
      <c r="I55" s="122">
        <v>0</v>
      </c>
      <c r="J55" s="123">
        <v>146.136</v>
      </c>
      <c r="K55" s="124">
        <f t="shared" si="35"/>
        <v>-146.136</v>
      </c>
      <c r="L55" s="125">
        <f t="shared" si="42"/>
        <v>0</v>
      </c>
      <c r="M55" s="122">
        <f t="shared" si="45"/>
        <v>292.3</v>
      </c>
      <c r="N55" s="124">
        <f t="shared" si="36"/>
        <v>-292.3</v>
      </c>
      <c r="O55" s="125">
        <f t="shared" si="44"/>
        <v>0</v>
      </c>
      <c r="P55" s="125">
        <f t="shared" si="13"/>
        <v>0</v>
      </c>
      <c r="Q55" s="122">
        <v>146.137</v>
      </c>
      <c r="R55" s="124">
        <f t="shared" si="37"/>
        <v>-146.137</v>
      </c>
      <c r="S55" s="125"/>
    </row>
    <row r="56" spans="1:21" s="42" customFormat="1" ht="60" x14ac:dyDescent="0.25">
      <c r="A56" s="41" t="s">
        <v>138</v>
      </c>
      <c r="B56" s="140" t="s">
        <v>149</v>
      </c>
      <c r="C56" s="105"/>
      <c r="D56" s="127">
        <v>2500</v>
      </c>
      <c r="E56" s="127">
        <v>2000</v>
      </c>
      <c r="F56" s="122">
        <f t="shared" si="12"/>
        <v>0</v>
      </c>
      <c r="G56" s="122">
        <v>0</v>
      </c>
      <c r="H56" s="122">
        <v>0</v>
      </c>
      <c r="I56" s="122">
        <v>0</v>
      </c>
      <c r="J56" s="123">
        <v>523.29999999999995</v>
      </c>
      <c r="K56" s="124">
        <f t="shared" si="35"/>
        <v>-523.29999999999995</v>
      </c>
      <c r="L56" s="125">
        <f t="shared" si="42"/>
        <v>0</v>
      </c>
      <c r="M56" s="122">
        <f t="shared" si="45"/>
        <v>2500</v>
      </c>
      <c r="N56" s="124">
        <f t="shared" si="36"/>
        <v>-2500</v>
      </c>
      <c r="O56" s="125">
        <f t="shared" si="44"/>
        <v>0</v>
      </c>
      <c r="P56" s="125">
        <f t="shared" si="13"/>
        <v>0</v>
      </c>
      <c r="Q56" s="122">
        <v>0</v>
      </c>
      <c r="R56" s="124">
        <f t="shared" si="37"/>
        <v>0</v>
      </c>
      <c r="S56" s="125"/>
    </row>
    <row r="57" spans="1:21" s="42" customFormat="1" ht="59.25" x14ac:dyDescent="0.25">
      <c r="A57" s="41" t="s">
        <v>170</v>
      </c>
      <c r="B57" s="140" t="s">
        <v>184</v>
      </c>
      <c r="C57" s="105"/>
      <c r="D57" s="127"/>
      <c r="E57" s="127"/>
      <c r="F57" s="122">
        <f t="shared" si="12"/>
        <v>0</v>
      </c>
      <c r="G57" s="122">
        <v>0</v>
      </c>
      <c r="H57" s="122">
        <v>0</v>
      </c>
      <c r="I57" s="122">
        <v>0</v>
      </c>
      <c r="J57" s="123">
        <v>0</v>
      </c>
      <c r="K57" s="124">
        <f t="shared" si="35"/>
        <v>0</v>
      </c>
      <c r="L57" s="125"/>
      <c r="M57" s="122"/>
      <c r="N57" s="124">
        <f t="shared" si="36"/>
        <v>0</v>
      </c>
      <c r="O57" s="125"/>
      <c r="P57" s="125"/>
      <c r="Q57" s="122">
        <v>231.63900000000001</v>
      </c>
      <c r="R57" s="124">
        <f t="shared" si="37"/>
        <v>-231.63900000000001</v>
      </c>
      <c r="S57" s="125"/>
    </row>
    <row r="58" spans="1:21" s="49" customFormat="1" ht="32.25" customHeight="1" x14ac:dyDescent="0.3">
      <c r="A58" s="46"/>
      <c r="B58" s="50" t="s">
        <v>28</v>
      </c>
      <c r="C58" s="47"/>
      <c r="D58" s="48">
        <f>D61+D60</f>
        <v>909311.34</v>
      </c>
      <c r="E58" s="48" t="e">
        <f>E61+E60</f>
        <v>#REF!</v>
      </c>
      <c r="F58" s="48">
        <f t="shared" si="12"/>
        <v>209401.46299999999</v>
      </c>
      <c r="G58" s="48">
        <f>G61+G60</f>
        <v>69678.231999999989</v>
      </c>
      <c r="H58" s="48">
        <f>H61+H60</f>
        <v>69894.97</v>
      </c>
      <c r="I58" s="48">
        <f>I61+I60</f>
        <v>69828.260999999999</v>
      </c>
      <c r="J58" s="48">
        <f>J61+J60</f>
        <v>210228.424</v>
      </c>
      <c r="K58" s="87">
        <f>F58-J58</f>
        <v>-826.96100000001024</v>
      </c>
      <c r="L58" s="88">
        <f>F58/J58*100</f>
        <v>99.60663692175136</v>
      </c>
      <c r="M58" s="48">
        <f>M61+M60</f>
        <v>905987.33</v>
      </c>
      <c r="N58" s="87">
        <f>F58-M58</f>
        <v>-696585.86699999997</v>
      </c>
      <c r="O58" s="88">
        <f>F58/M58*100</f>
        <v>23.11306748627489</v>
      </c>
      <c r="P58" s="88">
        <f t="shared" si="13"/>
        <v>23.028577098796546</v>
      </c>
      <c r="Q58" s="48">
        <f>Q61+Q60</f>
        <v>158704.31500000003</v>
      </c>
      <c r="R58" s="87">
        <f>F58-Q58</f>
        <v>50697.147999999957</v>
      </c>
      <c r="S58" s="88">
        <f>F58/Q58*100</f>
        <v>131.94440428415569</v>
      </c>
    </row>
    <row r="59" spans="1:21" s="13" customFormat="1" ht="23.25" hidden="1" x14ac:dyDescent="0.25">
      <c r="A59" s="12"/>
      <c r="B59" s="168" t="s">
        <v>100</v>
      </c>
      <c r="C59" s="11"/>
      <c r="D59" s="128"/>
      <c r="E59" s="128"/>
      <c r="F59" s="128"/>
      <c r="G59" s="128"/>
      <c r="H59" s="128"/>
      <c r="I59" s="128"/>
      <c r="J59" s="128"/>
      <c r="K59" s="120"/>
      <c r="L59" s="121"/>
      <c r="M59" s="128"/>
      <c r="N59" s="92"/>
      <c r="O59" s="93"/>
      <c r="P59" s="93"/>
      <c r="Q59" s="128"/>
      <c r="R59" s="92"/>
      <c r="S59" s="93"/>
    </row>
    <row r="60" spans="1:21" s="13" customFormat="1" ht="39" hidden="1" customHeight="1" x14ac:dyDescent="0.25">
      <c r="A60" s="12"/>
      <c r="B60" s="173" t="s">
        <v>115</v>
      </c>
      <c r="C60" s="26"/>
      <c r="D60" s="57">
        <f>D48</f>
        <v>29000</v>
      </c>
      <c r="E60" s="57">
        <f>E48</f>
        <v>0</v>
      </c>
      <c r="F60" s="57">
        <f t="shared" si="12"/>
        <v>7250.0999999999995</v>
      </c>
      <c r="G60" s="57">
        <f>G48</f>
        <v>2416.6999999999998</v>
      </c>
      <c r="H60" s="57">
        <f>H48</f>
        <v>2416.6999999999998</v>
      </c>
      <c r="I60" s="57">
        <f>I48</f>
        <v>2416.6999999999998</v>
      </c>
      <c r="J60" s="57">
        <f>J48</f>
        <v>7250.1</v>
      </c>
      <c r="K60" s="92">
        <f>F60-J60</f>
        <v>0</v>
      </c>
      <c r="L60" s="93">
        <f>F60/J60*100</f>
        <v>99.999999999999986</v>
      </c>
      <c r="M60" s="57">
        <f>M48</f>
        <v>29000</v>
      </c>
      <c r="N60" s="92">
        <f>F60-M60</f>
        <v>-21749.9</v>
      </c>
      <c r="O60" s="93">
        <f>F60/M60*100</f>
        <v>25.000344827586208</v>
      </c>
      <c r="P60" s="93">
        <f t="shared" si="13"/>
        <v>25.000344827586208</v>
      </c>
      <c r="Q60" s="57">
        <f>Q48</f>
        <v>0</v>
      </c>
      <c r="R60" s="92">
        <f>F60-Q60</f>
        <v>7250.0999999999995</v>
      </c>
      <c r="S60" s="93"/>
    </row>
    <row r="61" spans="1:21" s="13" customFormat="1" ht="39" hidden="1" customHeight="1" x14ac:dyDescent="0.25">
      <c r="A61" s="12"/>
      <c r="B61" s="173" t="s">
        <v>73</v>
      </c>
      <c r="C61" s="26"/>
      <c r="D61" s="57">
        <f>D62+D63</f>
        <v>880311.34</v>
      </c>
      <c r="E61" s="57" t="e">
        <f>E62+E63</f>
        <v>#REF!</v>
      </c>
      <c r="F61" s="57">
        <f t="shared" si="12"/>
        <v>202151.36300000001</v>
      </c>
      <c r="G61" s="57">
        <f>G62+G63</f>
        <v>67261.531999999992</v>
      </c>
      <c r="H61" s="57">
        <f>H62+H63</f>
        <v>67478.27</v>
      </c>
      <c r="I61" s="57">
        <f>I62+I63</f>
        <v>67411.561000000002</v>
      </c>
      <c r="J61" s="57">
        <f>J62+J63</f>
        <v>202978.32399999999</v>
      </c>
      <c r="K61" s="92">
        <f>F61-J61</f>
        <v>-826.96099999998114</v>
      </c>
      <c r="L61" s="93">
        <f>F61/J61*100</f>
        <v>99.592586546334886</v>
      </c>
      <c r="M61" s="57">
        <f>M62+M63</f>
        <v>876987.33</v>
      </c>
      <c r="N61" s="92">
        <f>F61-M61</f>
        <v>-674835.96699999995</v>
      </c>
      <c r="O61" s="93">
        <f>F61/M61*100</f>
        <v>23.050659466197764</v>
      </c>
      <c r="P61" s="93">
        <f t="shared" si="13"/>
        <v>22.963621370593728</v>
      </c>
      <c r="Q61" s="57">
        <f>Q62+Q63</f>
        <v>158704.31500000003</v>
      </c>
      <c r="R61" s="92">
        <f>F61-Q61</f>
        <v>43447.047999999981</v>
      </c>
      <c r="S61" s="93">
        <f>F61/Q61*100</f>
        <v>127.37609749300137</v>
      </c>
    </row>
    <row r="62" spans="1:21" s="8" customFormat="1" ht="39" hidden="1" customHeight="1" x14ac:dyDescent="0.25">
      <c r="A62" s="14"/>
      <c r="B62" s="17" t="s">
        <v>104</v>
      </c>
      <c r="C62" s="17"/>
      <c r="D62" s="127">
        <f>D47</f>
        <v>855684.1</v>
      </c>
      <c r="E62" s="127" t="e">
        <f>E47+#REF!</f>
        <v>#REF!</v>
      </c>
      <c r="F62" s="127">
        <f t="shared" si="12"/>
        <v>197663.09999999998</v>
      </c>
      <c r="G62" s="127">
        <f>G47</f>
        <v>65887.7</v>
      </c>
      <c r="H62" s="127">
        <f>H47</f>
        <v>65887.7</v>
      </c>
      <c r="I62" s="127">
        <f>I47</f>
        <v>65887.7</v>
      </c>
      <c r="J62" s="127">
        <f>J47</f>
        <v>197663.1</v>
      </c>
      <c r="K62" s="124">
        <f>F62-J62</f>
        <v>0</v>
      </c>
      <c r="L62" s="125">
        <f>F62/J62*100</f>
        <v>99.999999999999986</v>
      </c>
      <c r="M62" s="127">
        <f>M47</f>
        <v>855684.1</v>
      </c>
      <c r="N62" s="124">
        <f>F62-M62</f>
        <v>-658021</v>
      </c>
      <c r="O62" s="125">
        <f>F62/M62*100</f>
        <v>23.100008519499191</v>
      </c>
      <c r="P62" s="125">
        <f t="shared" si="13"/>
        <v>23.100008519499191</v>
      </c>
      <c r="Q62" s="127">
        <f>Q47</f>
        <v>151597.90000000002</v>
      </c>
      <c r="R62" s="124">
        <f>F62-Q62</f>
        <v>46065.199999999953</v>
      </c>
      <c r="S62" s="125">
        <f>F62/Q62*100</f>
        <v>130.38643675143254</v>
      </c>
    </row>
    <row r="63" spans="1:21" s="8" customFormat="1" ht="39" hidden="1" customHeight="1" x14ac:dyDescent="0.25">
      <c r="A63" s="14"/>
      <c r="B63" s="169" t="s">
        <v>103</v>
      </c>
      <c r="C63" s="17"/>
      <c r="D63" s="127">
        <f>D49+D52+D50+D51</f>
        <v>24627.24</v>
      </c>
      <c r="E63" s="127">
        <f>E49+E52+E50+E51</f>
        <v>26319.402000000002</v>
      </c>
      <c r="F63" s="127">
        <f t="shared" si="12"/>
        <v>4488.2629999999999</v>
      </c>
      <c r="G63" s="127">
        <f>G49+G52+G50+G51</f>
        <v>1373.8319999999999</v>
      </c>
      <c r="H63" s="127">
        <f>H49+H52+H50+H51</f>
        <v>1590.57</v>
      </c>
      <c r="I63" s="127">
        <f>I49+I52+I50+I51</f>
        <v>1523.8609999999999</v>
      </c>
      <c r="J63" s="127">
        <f>J49+J52+J50+J51</f>
        <v>5315.2240000000002</v>
      </c>
      <c r="K63" s="124">
        <f>F63-J63</f>
        <v>-826.96100000000024</v>
      </c>
      <c r="L63" s="125">
        <f>F63/J63*100</f>
        <v>84.441652882362064</v>
      </c>
      <c r="M63" s="127">
        <f>M49+M52+M50+M51</f>
        <v>21303.230000000003</v>
      </c>
      <c r="N63" s="124">
        <f>F63-M63</f>
        <v>-16814.967000000004</v>
      </c>
      <c r="O63" s="125">
        <f>F63/M63*100</f>
        <v>21.068462388097952</v>
      </c>
      <c r="P63" s="125">
        <f t="shared" si="13"/>
        <v>18.224790922571916</v>
      </c>
      <c r="Q63" s="127">
        <f>Q49+Q52+Q50+Q51</f>
        <v>7106.4150000000009</v>
      </c>
      <c r="R63" s="124">
        <f>F63-Q63</f>
        <v>-2618.152000000001</v>
      </c>
      <c r="S63" s="125">
        <f>F63/Q63*100</f>
        <v>63.157907327393623</v>
      </c>
    </row>
    <row r="64" spans="1:21" s="8" customFormat="1" ht="12" customHeight="1" x14ac:dyDescent="0.25">
      <c r="A64" s="14"/>
      <c r="B64" s="44"/>
      <c r="C64" s="17"/>
      <c r="D64" s="127"/>
      <c r="E64" s="127"/>
      <c r="F64" s="127"/>
      <c r="G64" s="127"/>
      <c r="H64" s="127"/>
      <c r="I64" s="127"/>
      <c r="J64" s="127"/>
      <c r="K64" s="124"/>
      <c r="L64" s="125"/>
      <c r="M64" s="127"/>
      <c r="N64" s="124"/>
      <c r="O64" s="125"/>
      <c r="P64" s="125"/>
      <c r="Q64" s="127"/>
      <c r="R64" s="124"/>
      <c r="S64" s="125"/>
    </row>
    <row r="65" spans="1:24" s="152" customFormat="1" ht="36.75" customHeight="1" x14ac:dyDescent="0.3">
      <c r="A65" s="145"/>
      <c r="B65" s="146" t="s">
        <v>27</v>
      </c>
      <c r="C65" s="147"/>
      <c r="D65" s="148">
        <f>D58+D46</f>
        <v>5298771.3249999993</v>
      </c>
      <c r="E65" s="148" t="e">
        <f>E58+E46</f>
        <v>#REF!</v>
      </c>
      <c r="F65" s="148">
        <f t="shared" si="12"/>
        <v>1194479.4130000002</v>
      </c>
      <c r="G65" s="148">
        <f>G58+G46</f>
        <v>373217.95900000003</v>
      </c>
      <c r="H65" s="148">
        <f>H58+H46</f>
        <v>452498.94200000004</v>
      </c>
      <c r="I65" s="148">
        <f>I58+I46</f>
        <v>368762.51199999999</v>
      </c>
      <c r="J65" s="148">
        <f>J58+J46</f>
        <v>1172130.287</v>
      </c>
      <c r="K65" s="149">
        <f>F65-J65</f>
        <v>22349.126000000164</v>
      </c>
      <c r="L65" s="150">
        <f>F65/J65*100</f>
        <v>101.90671005159344</v>
      </c>
      <c r="M65" s="148">
        <f>M58+M46</f>
        <v>2003352.3262499999</v>
      </c>
      <c r="N65" s="149">
        <f>F65-M65</f>
        <v>-808872.91324999975</v>
      </c>
      <c r="O65" s="150">
        <f>F65/M65*100</f>
        <v>59.624031047793849</v>
      </c>
      <c r="P65" s="150">
        <f t="shared" si="13"/>
        <v>22.542573357796307</v>
      </c>
      <c r="Q65" s="148">
        <f>Q58+Q46</f>
        <v>978104.79099999997</v>
      </c>
      <c r="R65" s="149">
        <f>F65-Q65</f>
        <v>216374.62200000021</v>
      </c>
      <c r="S65" s="150">
        <f>F65/Q65*100</f>
        <v>122.12182416352158</v>
      </c>
      <c r="T65" s="148">
        <v>978104.79099999997</v>
      </c>
      <c r="U65" s="151">
        <f>T65-Q65</f>
        <v>0</v>
      </c>
      <c r="X65" s="151">
        <f>2708373.649-J65</f>
        <v>1536243.3620000002</v>
      </c>
    </row>
    <row r="66" spans="1:24" s="10" customFormat="1" ht="24" customHeight="1" x14ac:dyDescent="0.25">
      <c r="A66" s="180" t="s">
        <v>9</v>
      </c>
      <c r="B66" s="180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</row>
    <row r="67" spans="1:24" s="61" customFormat="1" ht="28.5" customHeight="1" x14ac:dyDescent="0.3">
      <c r="A67" s="24">
        <v>1</v>
      </c>
      <c r="B67" s="60" t="s">
        <v>12</v>
      </c>
      <c r="C67" s="25" t="s">
        <v>21</v>
      </c>
      <c r="D67" s="126">
        <f>D68+D69</f>
        <v>94437.012000000002</v>
      </c>
      <c r="E67" s="126">
        <f t="shared" ref="E67" si="47">D67</f>
        <v>94437.012000000002</v>
      </c>
      <c r="F67" s="118">
        <f t="shared" ref="F67:F102" si="48">SUM(G67:I67)</f>
        <v>25797.058000000001</v>
      </c>
      <c r="G67" s="118">
        <f t="shared" ref="G67:J67" si="49">G68+G69</f>
        <v>6852.4160000000002</v>
      </c>
      <c r="H67" s="118">
        <f t="shared" ref="H67" si="50">H68+H69</f>
        <v>7779.7809999999999</v>
      </c>
      <c r="I67" s="118">
        <f t="shared" si="49"/>
        <v>11164.861000000001</v>
      </c>
      <c r="J67" s="119">
        <f t="shared" si="49"/>
        <v>23609.253000000001</v>
      </c>
      <c r="K67" s="120">
        <f t="shared" ref="K67:K82" si="51">F67-J67</f>
        <v>2187.8050000000003</v>
      </c>
      <c r="L67" s="121">
        <f>F67/J67*100</f>
        <v>109.26672690576021</v>
      </c>
      <c r="M67" s="120">
        <f t="shared" ref="M67" si="52">M68+M69</f>
        <v>23609.253000000001</v>
      </c>
      <c r="N67" s="120">
        <f t="shared" ref="N67:N82" si="53">F67-M67</f>
        <v>2187.8050000000003</v>
      </c>
      <c r="O67" s="121">
        <f>F67/M67*100</f>
        <v>109.26672690576021</v>
      </c>
      <c r="P67" s="121">
        <f t="shared" si="13"/>
        <v>27.316681726440052</v>
      </c>
      <c r="Q67" s="118">
        <f t="shared" ref="Q67" si="54">Q68+Q69</f>
        <v>18469.378000000001</v>
      </c>
      <c r="R67" s="120">
        <f t="shared" ref="R67:R82" si="55">F67-Q67</f>
        <v>7327.68</v>
      </c>
      <c r="S67" s="121">
        <f>F67/Q67*100</f>
        <v>139.67475244699631</v>
      </c>
    </row>
    <row r="68" spans="1:24" s="64" customFormat="1" ht="41.25" customHeight="1" x14ac:dyDescent="0.3">
      <c r="A68" s="41" t="s">
        <v>120</v>
      </c>
      <c r="B68" s="104" t="s">
        <v>116</v>
      </c>
      <c r="C68" s="17" t="s">
        <v>117</v>
      </c>
      <c r="D68" s="127">
        <v>94437.012000000002</v>
      </c>
      <c r="E68" s="127">
        <v>70446.198000000004</v>
      </c>
      <c r="F68" s="122">
        <f t="shared" si="48"/>
        <v>14715.272999999999</v>
      </c>
      <c r="G68" s="122">
        <v>5371.9639999999999</v>
      </c>
      <c r="H68" s="122">
        <v>6387.2280000000001</v>
      </c>
      <c r="I68" s="122">
        <v>2956.0810000000001</v>
      </c>
      <c r="J68" s="123">
        <v>23609.253000000001</v>
      </c>
      <c r="K68" s="124">
        <f t="shared" si="51"/>
        <v>-8893.9800000000014</v>
      </c>
      <c r="L68" s="125">
        <f>F68/J68*100</f>
        <v>62.3284142026857</v>
      </c>
      <c r="M68" s="124">
        <f>D68/12*3</f>
        <v>23609.253000000001</v>
      </c>
      <c r="N68" s="124">
        <f t="shared" si="53"/>
        <v>-8893.9800000000014</v>
      </c>
      <c r="O68" s="125">
        <f>F68/M68*100</f>
        <v>62.3284142026857</v>
      </c>
      <c r="P68" s="125">
        <f t="shared" si="13"/>
        <v>15.582103550671425</v>
      </c>
      <c r="Q68" s="122">
        <v>15293.05</v>
      </c>
      <c r="R68" s="124">
        <f t="shared" si="55"/>
        <v>-577.77700000000004</v>
      </c>
      <c r="S68" s="125">
        <f>F68/Q68*100</f>
        <v>96.221963571687795</v>
      </c>
    </row>
    <row r="69" spans="1:24" s="64" customFormat="1" ht="38.25" customHeight="1" x14ac:dyDescent="0.3">
      <c r="A69" s="41" t="s">
        <v>121</v>
      </c>
      <c r="B69" s="104" t="s">
        <v>118</v>
      </c>
      <c r="C69" s="17" t="s">
        <v>119</v>
      </c>
      <c r="D69" s="127">
        <v>0</v>
      </c>
      <c r="E69" s="127">
        <v>0</v>
      </c>
      <c r="F69" s="122">
        <f t="shared" si="48"/>
        <v>11081.785</v>
      </c>
      <c r="G69" s="122">
        <v>1480.452</v>
      </c>
      <c r="H69" s="122">
        <v>1392.5530000000001</v>
      </c>
      <c r="I69" s="122">
        <v>8208.7800000000007</v>
      </c>
      <c r="J69" s="123">
        <v>0</v>
      </c>
      <c r="K69" s="124">
        <f t="shared" si="51"/>
        <v>11081.785</v>
      </c>
      <c r="L69" s="125"/>
      <c r="M69" s="124"/>
      <c r="N69" s="124">
        <f t="shared" si="53"/>
        <v>11081.785</v>
      </c>
      <c r="O69" s="125"/>
      <c r="P69" s="125"/>
      <c r="Q69" s="122">
        <v>3176.328</v>
      </c>
      <c r="R69" s="124">
        <f t="shared" si="55"/>
        <v>7905.4570000000003</v>
      </c>
      <c r="S69" s="125">
        <f>F69/Q69*100</f>
        <v>348.88667039424138</v>
      </c>
    </row>
    <row r="70" spans="1:24" s="61" customFormat="1" ht="47.25" customHeight="1" x14ac:dyDescent="0.3">
      <c r="A70" s="24">
        <v>2</v>
      </c>
      <c r="B70" s="117" t="s">
        <v>164</v>
      </c>
      <c r="C70" s="25" t="s">
        <v>162</v>
      </c>
      <c r="D70" s="126"/>
      <c r="E70" s="126"/>
      <c r="F70" s="118">
        <f t="shared" si="48"/>
        <v>38.006</v>
      </c>
      <c r="G70" s="118">
        <v>0</v>
      </c>
      <c r="H70" s="118">
        <v>38.006</v>
      </c>
      <c r="I70" s="118">
        <v>0</v>
      </c>
      <c r="J70" s="119">
        <v>0</v>
      </c>
      <c r="K70" s="120"/>
      <c r="L70" s="121"/>
      <c r="M70" s="120"/>
      <c r="N70" s="120">
        <f t="shared" si="53"/>
        <v>38.006</v>
      </c>
      <c r="O70" s="121"/>
      <c r="P70" s="121"/>
      <c r="Q70" s="118">
        <v>0</v>
      </c>
      <c r="R70" s="120">
        <f t="shared" si="55"/>
        <v>38.006</v>
      </c>
      <c r="S70" s="121"/>
    </row>
    <row r="71" spans="1:24" s="61" customFormat="1" ht="33.75" customHeight="1" x14ac:dyDescent="0.3">
      <c r="A71" s="24">
        <v>3</v>
      </c>
      <c r="B71" s="117" t="s">
        <v>31</v>
      </c>
      <c r="C71" s="25" t="s">
        <v>30</v>
      </c>
      <c r="D71" s="126">
        <v>2313.6999999999998</v>
      </c>
      <c r="E71" s="126">
        <v>2267.6</v>
      </c>
      <c r="F71" s="118">
        <f t="shared" si="48"/>
        <v>460.13200000000006</v>
      </c>
      <c r="G71" s="118">
        <v>12.451000000000001</v>
      </c>
      <c r="H71" s="118">
        <v>361.55</v>
      </c>
      <c r="I71" s="118">
        <v>86.131</v>
      </c>
      <c r="J71" s="119">
        <v>456.68299999999999</v>
      </c>
      <c r="K71" s="120">
        <f t="shared" si="51"/>
        <v>3.4490000000000691</v>
      </c>
      <c r="L71" s="121">
        <f>F71/J71*100</f>
        <v>100.75522846263165</v>
      </c>
      <c r="M71" s="120">
        <f t="shared" ref="M71:M81" si="56">D71/12*3</f>
        <v>578.42499999999995</v>
      </c>
      <c r="N71" s="120">
        <f t="shared" si="53"/>
        <v>-118.29299999999989</v>
      </c>
      <c r="O71" s="121">
        <f t="shared" ref="O71:O77" si="57">F71/M71*100</f>
        <v>79.549120456411828</v>
      </c>
      <c r="P71" s="121">
        <f t="shared" si="13"/>
        <v>19.887280114102957</v>
      </c>
      <c r="Q71" s="118">
        <v>368.30699999999996</v>
      </c>
      <c r="R71" s="120">
        <f t="shared" si="55"/>
        <v>91.825000000000102</v>
      </c>
      <c r="S71" s="121">
        <f>F71/Q71*100</f>
        <v>124.93164669691322</v>
      </c>
    </row>
    <row r="72" spans="1:24" s="61" customFormat="1" ht="47.25" customHeight="1" x14ac:dyDescent="0.3">
      <c r="A72" s="24">
        <v>4</v>
      </c>
      <c r="B72" s="117" t="s">
        <v>165</v>
      </c>
      <c r="C72" s="25" t="s">
        <v>163</v>
      </c>
      <c r="D72" s="126"/>
      <c r="E72" s="126"/>
      <c r="F72" s="118">
        <f t="shared" si="48"/>
        <v>0.46499999999999997</v>
      </c>
      <c r="G72" s="118">
        <v>0</v>
      </c>
      <c r="H72" s="118">
        <v>0.36</v>
      </c>
      <c r="I72" s="118">
        <v>0.105</v>
      </c>
      <c r="J72" s="119">
        <v>0</v>
      </c>
      <c r="K72" s="120">
        <f t="shared" si="51"/>
        <v>0.46499999999999997</v>
      </c>
      <c r="L72" s="121"/>
      <c r="M72" s="120"/>
      <c r="N72" s="120">
        <f t="shared" si="53"/>
        <v>0.46499999999999997</v>
      </c>
      <c r="O72" s="121"/>
      <c r="P72" s="121"/>
      <c r="Q72" s="118">
        <v>0</v>
      </c>
      <c r="R72" s="120">
        <f t="shared" si="55"/>
        <v>0.46499999999999997</v>
      </c>
      <c r="S72" s="121"/>
    </row>
    <row r="73" spans="1:24" s="61" customFormat="1" ht="39" x14ac:dyDescent="0.3">
      <c r="A73" s="24">
        <v>5</v>
      </c>
      <c r="B73" s="117" t="s">
        <v>86</v>
      </c>
      <c r="C73" s="25">
        <v>21110000</v>
      </c>
      <c r="D73" s="126">
        <v>110</v>
      </c>
      <c r="E73" s="126">
        <v>160</v>
      </c>
      <c r="F73" s="118">
        <f t="shared" si="48"/>
        <v>0</v>
      </c>
      <c r="G73" s="118">
        <v>0</v>
      </c>
      <c r="H73" s="118">
        <v>0</v>
      </c>
      <c r="I73" s="118">
        <v>0</v>
      </c>
      <c r="J73" s="119">
        <v>0</v>
      </c>
      <c r="K73" s="120">
        <f t="shared" si="51"/>
        <v>0</v>
      </c>
      <c r="L73" s="121"/>
      <c r="M73" s="120">
        <f t="shared" si="56"/>
        <v>27.5</v>
      </c>
      <c r="N73" s="120">
        <f t="shared" si="53"/>
        <v>-27.5</v>
      </c>
      <c r="O73" s="121">
        <f t="shared" si="57"/>
        <v>0</v>
      </c>
      <c r="P73" s="121">
        <f t="shared" si="13"/>
        <v>0</v>
      </c>
      <c r="Q73" s="118">
        <v>13.731999999999999</v>
      </c>
      <c r="R73" s="120">
        <f t="shared" si="55"/>
        <v>-13.731999999999999</v>
      </c>
      <c r="S73" s="121"/>
    </row>
    <row r="74" spans="1:24" s="61" customFormat="1" ht="58.5" x14ac:dyDescent="0.3">
      <c r="A74" s="24">
        <f t="shared" ref="A74:A76" si="58">A73+1</f>
        <v>6</v>
      </c>
      <c r="B74" s="60" t="s">
        <v>26</v>
      </c>
      <c r="C74" s="25" t="s">
        <v>25</v>
      </c>
      <c r="D74" s="126">
        <v>20</v>
      </c>
      <c r="E74" s="126">
        <v>15.7</v>
      </c>
      <c r="F74" s="118">
        <f t="shared" si="48"/>
        <v>14.063000000000001</v>
      </c>
      <c r="G74" s="118">
        <v>11.72</v>
      </c>
      <c r="H74" s="118">
        <v>2.343</v>
      </c>
      <c r="I74" s="118">
        <v>0</v>
      </c>
      <c r="J74" s="119">
        <v>14.061999999999999</v>
      </c>
      <c r="K74" s="120">
        <f t="shared" si="51"/>
        <v>1.0000000000012221E-3</v>
      </c>
      <c r="L74" s="121">
        <f>F74/J74*100</f>
        <v>100.00711136395961</v>
      </c>
      <c r="M74" s="120">
        <f t="shared" si="56"/>
        <v>5</v>
      </c>
      <c r="N74" s="120">
        <f t="shared" si="53"/>
        <v>9.0630000000000006</v>
      </c>
      <c r="O74" s="121">
        <f t="shared" si="57"/>
        <v>281.26000000000005</v>
      </c>
      <c r="P74" s="121">
        <f t="shared" ref="P74:P102" si="59">F74/D74*100</f>
        <v>70.315000000000012</v>
      </c>
      <c r="Q74" s="118">
        <v>131.976</v>
      </c>
      <c r="R74" s="120">
        <f t="shared" si="55"/>
        <v>-117.913</v>
      </c>
      <c r="S74" s="121">
        <f>F74/Q74*100</f>
        <v>10.655725283384857</v>
      </c>
    </row>
    <row r="75" spans="1:24" s="61" customFormat="1" ht="58.5" x14ac:dyDescent="0.3">
      <c r="A75" s="24">
        <f t="shared" si="58"/>
        <v>7</v>
      </c>
      <c r="B75" s="60" t="s">
        <v>67</v>
      </c>
      <c r="C75" s="25" t="s">
        <v>68</v>
      </c>
      <c r="D75" s="126">
        <v>0</v>
      </c>
      <c r="E75" s="126">
        <v>0.4</v>
      </c>
      <c r="F75" s="118">
        <f t="shared" si="48"/>
        <v>0</v>
      </c>
      <c r="G75" s="118">
        <v>0</v>
      </c>
      <c r="H75" s="118">
        <v>0</v>
      </c>
      <c r="I75" s="118">
        <v>0</v>
      </c>
      <c r="J75" s="119">
        <v>0</v>
      </c>
      <c r="K75" s="120">
        <f t="shared" si="51"/>
        <v>0</v>
      </c>
      <c r="L75" s="121"/>
      <c r="M75" s="120"/>
      <c r="N75" s="120">
        <f t="shared" si="53"/>
        <v>0</v>
      </c>
      <c r="O75" s="121"/>
      <c r="P75" s="121"/>
      <c r="Q75" s="118">
        <v>7.7000000000000013E-2</v>
      </c>
      <c r="R75" s="120">
        <f t="shared" si="55"/>
        <v>-7.7000000000000013E-2</v>
      </c>
      <c r="S75" s="121"/>
    </row>
    <row r="76" spans="1:24" s="32" customFormat="1" ht="41.25" customHeight="1" x14ac:dyDescent="0.3">
      <c r="A76" s="12">
        <f t="shared" si="58"/>
        <v>8</v>
      </c>
      <c r="B76" s="16" t="s">
        <v>10</v>
      </c>
      <c r="C76" s="9"/>
      <c r="D76" s="57">
        <f>SUM(D77:D80)</f>
        <v>69003.199999999997</v>
      </c>
      <c r="E76" s="57">
        <f>SUM(E77:E80)</f>
        <v>90003.199999999997</v>
      </c>
      <c r="F76" s="57">
        <f t="shared" si="48"/>
        <v>16338.109</v>
      </c>
      <c r="G76" s="57">
        <f>SUM(G77:G80)</f>
        <v>7157.3879999999999</v>
      </c>
      <c r="H76" s="57">
        <f>SUM(H77:H80)</f>
        <v>8333.3260000000009</v>
      </c>
      <c r="I76" s="57">
        <f>SUM(I77:I80)</f>
        <v>847.39499999999998</v>
      </c>
      <c r="J76" s="57">
        <f>SUM(J77:J80)</f>
        <v>15249.504000000001</v>
      </c>
      <c r="K76" s="57">
        <f t="shared" si="51"/>
        <v>1088.6049999999996</v>
      </c>
      <c r="L76" s="93">
        <f>F76/J76*100</f>
        <v>107.13862562349567</v>
      </c>
      <c r="M76" s="57">
        <f>SUM(M77:M80)</f>
        <v>17250.8</v>
      </c>
      <c r="N76" s="92">
        <f t="shared" si="53"/>
        <v>-912.69099999999889</v>
      </c>
      <c r="O76" s="93">
        <f t="shared" si="57"/>
        <v>94.709283047742716</v>
      </c>
      <c r="P76" s="93">
        <f t="shared" si="59"/>
        <v>23.677320761935679</v>
      </c>
      <c r="Q76" s="57">
        <f>SUM(Q77:Q80)</f>
        <v>20988.300000000003</v>
      </c>
      <c r="R76" s="92">
        <f t="shared" si="55"/>
        <v>-4650.1910000000025</v>
      </c>
      <c r="S76" s="93">
        <f>F76/Q76*100</f>
        <v>77.843889214467097</v>
      </c>
      <c r="T76" s="62"/>
    </row>
    <row r="77" spans="1:24" s="64" customFormat="1" ht="39" x14ac:dyDescent="0.3">
      <c r="A77" s="14" t="s">
        <v>166</v>
      </c>
      <c r="B77" s="104" t="s">
        <v>143</v>
      </c>
      <c r="C77" s="17" t="s">
        <v>63</v>
      </c>
      <c r="D77" s="127">
        <v>3.2</v>
      </c>
      <c r="E77" s="127">
        <v>3.2</v>
      </c>
      <c r="F77" s="122">
        <f t="shared" si="48"/>
        <v>0</v>
      </c>
      <c r="G77" s="122">
        <v>0</v>
      </c>
      <c r="H77" s="122">
        <v>0</v>
      </c>
      <c r="I77" s="122">
        <v>0</v>
      </c>
      <c r="J77" s="123">
        <v>0</v>
      </c>
      <c r="K77" s="124">
        <f t="shared" si="51"/>
        <v>0</v>
      </c>
      <c r="L77" s="125"/>
      <c r="M77" s="124">
        <f t="shared" si="56"/>
        <v>0.8</v>
      </c>
      <c r="N77" s="124">
        <f t="shared" si="53"/>
        <v>-0.8</v>
      </c>
      <c r="O77" s="125">
        <f t="shared" si="57"/>
        <v>0</v>
      </c>
      <c r="P77" s="125">
        <f t="shared" si="59"/>
        <v>0</v>
      </c>
      <c r="Q77" s="122">
        <v>0</v>
      </c>
      <c r="R77" s="124">
        <f t="shared" si="55"/>
        <v>0</v>
      </c>
      <c r="S77" s="125"/>
    </row>
    <row r="78" spans="1:24" s="64" customFormat="1" ht="39" x14ac:dyDescent="0.3">
      <c r="A78" s="14" t="s">
        <v>167</v>
      </c>
      <c r="B78" s="104" t="s">
        <v>156</v>
      </c>
      <c r="C78" s="17" t="s">
        <v>44</v>
      </c>
      <c r="D78" s="127">
        <v>0</v>
      </c>
      <c r="E78" s="127">
        <v>0</v>
      </c>
      <c r="F78" s="122">
        <f t="shared" si="48"/>
        <v>823.61800000000005</v>
      </c>
      <c r="G78" s="122">
        <v>12.75</v>
      </c>
      <c r="H78" s="122">
        <v>807.42100000000005</v>
      </c>
      <c r="I78" s="122">
        <v>3.4470000000000001</v>
      </c>
      <c r="J78" s="123">
        <v>0</v>
      </c>
      <c r="K78" s="124">
        <f t="shared" si="51"/>
        <v>823.61800000000005</v>
      </c>
      <c r="L78" s="125"/>
      <c r="M78" s="124">
        <f t="shared" si="56"/>
        <v>0</v>
      </c>
      <c r="N78" s="124">
        <f t="shared" si="53"/>
        <v>823.61800000000005</v>
      </c>
      <c r="O78" s="125"/>
      <c r="P78" s="125"/>
      <c r="Q78" s="122">
        <v>8196.2880000000005</v>
      </c>
      <c r="R78" s="124">
        <f t="shared" si="55"/>
        <v>-7372.67</v>
      </c>
      <c r="S78" s="125">
        <f>F78/Q78*100</f>
        <v>10.048670812933855</v>
      </c>
    </row>
    <row r="79" spans="1:24" s="64" customFormat="1" ht="29.25" customHeight="1" x14ac:dyDescent="0.3">
      <c r="A79" s="14" t="s">
        <v>168</v>
      </c>
      <c r="B79" s="104" t="s">
        <v>36</v>
      </c>
      <c r="C79" s="17" t="s">
        <v>22</v>
      </c>
      <c r="D79" s="127">
        <v>19000</v>
      </c>
      <c r="E79" s="127">
        <v>20000</v>
      </c>
      <c r="F79" s="122">
        <f t="shared" si="48"/>
        <v>6574.5780000000004</v>
      </c>
      <c r="G79" s="122">
        <v>3.9</v>
      </c>
      <c r="H79" s="122">
        <v>6190.4620000000004</v>
      </c>
      <c r="I79" s="122">
        <v>380.21600000000001</v>
      </c>
      <c r="J79" s="123">
        <v>6574.5770000000002</v>
      </c>
      <c r="K79" s="124">
        <f t="shared" si="51"/>
        <v>1.0000000002037268E-3</v>
      </c>
      <c r="L79" s="125">
        <f>F79/J79*100</f>
        <v>100.00001521010402</v>
      </c>
      <c r="M79" s="124">
        <f t="shared" si="56"/>
        <v>4750</v>
      </c>
      <c r="N79" s="124">
        <f t="shared" si="53"/>
        <v>1824.5780000000004</v>
      </c>
      <c r="O79" s="125">
        <f>F79/M79*100</f>
        <v>138.41216842105263</v>
      </c>
      <c r="P79" s="125">
        <f t="shared" si="59"/>
        <v>34.603042105263157</v>
      </c>
      <c r="Q79" s="122">
        <v>2908.8789999999999</v>
      </c>
      <c r="R79" s="124">
        <f t="shared" si="55"/>
        <v>3665.6990000000005</v>
      </c>
      <c r="S79" s="125">
        <f>F79/Q79*100</f>
        <v>226.01758271829118</v>
      </c>
    </row>
    <row r="80" spans="1:24" s="63" customFormat="1" ht="40.5" customHeight="1" x14ac:dyDescent="0.3">
      <c r="A80" s="14" t="s">
        <v>169</v>
      </c>
      <c r="B80" s="44" t="s">
        <v>69</v>
      </c>
      <c r="C80" s="17" t="s">
        <v>42</v>
      </c>
      <c r="D80" s="127">
        <v>50000</v>
      </c>
      <c r="E80" s="127">
        <v>70000</v>
      </c>
      <c r="F80" s="127">
        <f t="shared" si="48"/>
        <v>8939.9130000000005</v>
      </c>
      <c r="G80" s="127">
        <v>7140.7380000000003</v>
      </c>
      <c r="H80" s="127">
        <v>1335.443</v>
      </c>
      <c r="I80" s="127">
        <v>463.73200000000003</v>
      </c>
      <c r="J80" s="127">
        <v>8674.9269999999997</v>
      </c>
      <c r="K80" s="124">
        <f t="shared" si="51"/>
        <v>264.98600000000079</v>
      </c>
      <c r="L80" s="125">
        <f>F80/J80*100</f>
        <v>103.05461936452032</v>
      </c>
      <c r="M80" s="124">
        <f t="shared" si="56"/>
        <v>12500</v>
      </c>
      <c r="N80" s="124">
        <f t="shared" si="53"/>
        <v>-3560.0869999999995</v>
      </c>
      <c r="O80" s="125">
        <f>F80/M80*100</f>
        <v>71.519304000000005</v>
      </c>
      <c r="P80" s="125">
        <f t="shared" si="59"/>
        <v>17.879826000000001</v>
      </c>
      <c r="Q80" s="127">
        <v>9883.1329999999998</v>
      </c>
      <c r="R80" s="124">
        <f t="shared" si="55"/>
        <v>-943.21999999999935</v>
      </c>
      <c r="S80" s="125">
        <f>F80/Q80*100</f>
        <v>90.456265234920949</v>
      </c>
    </row>
    <row r="81" spans="1:21" s="61" customFormat="1" ht="40.5" customHeight="1" x14ac:dyDescent="0.3">
      <c r="A81" s="24">
        <v>9</v>
      </c>
      <c r="B81" s="117" t="s">
        <v>11</v>
      </c>
      <c r="C81" s="25" t="s">
        <v>23</v>
      </c>
      <c r="D81" s="126">
        <v>6090</v>
      </c>
      <c r="E81" s="126">
        <v>6000</v>
      </c>
      <c r="F81" s="118">
        <f t="shared" si="48"/>
        <v>1696.0060000000001</v>
      </c>
      <c r="G81" s="118">
        <v>783.11300000000006</v>
      </c>
      <c r="H81" s="118">
        <v>689.47400000000005</v>
      </c>
      <c r="I81" s="118">
        <v>223.41900000000001</v>
      </c>
      <c r="J81" s="119">
        <v>1647</v>
      </c>
      <c r="K81" s="120">
        <f t="shared" si="51"/>
        <v>49.006000000000085</v>
      </c>
      <c r="L81" s="121">
        <f>F81/J81*100</f>
        <v>102.97547055251974</v>
      </c>
      <c r="M81" s="120">
        <f t="shared" si="56"/>
        <v>1522.5</v>
      </c>
      <c r="N81" s="120">
        <f t="shared" si="53"/>
        <v>173.50600000000009</v>
      </c>
      <c r="O81" s="121">
        <f>F81/M81*100</f>
        <v>111.3961247947455</v>
      </c>
      <c r="P81" s="121">
        <f t="shared" si="59"/>
        <v>27.849031198686376</v>
      </c>
      <c r="Q81" s="118">
        <v>1172.3330000000001</v>
      </c>
      <c r="R81" s="120">
        <f t="shared" si="55"/>
        <v>523.673</v>
      </c>
      <c r="S81" s="121">
        <f>F81/Q81*100</f>
        <v>144.66930471120406</v>
      </c>
    </row>
    <row r="82" spans="1:21" s="53" customFormat="1" ht="35.25" customHeight="1" x14ac:dyDescent="0.3">
      <c r="A82" s="51"/>
      <c r="B82" s="85" t="s">
        <v>158</v>
      </c>
      <c r="C82" s="52"/>
      <c r="D82" s="48">
        <f>D67+D71+D74+D75+D77+D78+D79+D80+D81+D73</f>
        <v>171973.91200000001</v>
      </c>
      <c r="E82" s="48">
        <f>E67+E71+E74+E75+E77+E78+E79+E80+E81+E73</f>
        <v>192883.91200000001</v>
      </c>
      <c r="F82" s="48">
        <f t="shared" si="48"/>
        <v>44343.839</v>
      </c>
      <c r="G82" s="48">
        <f>G67+G71+G74+G75+G77+G78+G79+G80+G81+G73</f>
        <v>14817.088</v>
      </c>
      <c r="H82" s="48">
        <f>H67+H71+H74+H75+H77+H78+H79+H80+H81+H73+H70+H72</f>
        <v>17204.84</v>
      </c>
      <c r="I82" s="48">
        <f>I67+I71+I74+I75+I77+I78+I79+I80+I81+I73+I70+I72</f>
        <v>12321.911</v>
      </c>
      <c r="J82" s="48">
        <f>J67+J71+J74+J75+J77+J78+J79+J80+J81+J73</f>
        <v>40976.502000000008</v>
      </c>
      <c r="K82" s="87">
        <f t="shared" si="51"/>
        <v>3367.3369999999923</v>
      </c>
      <c r="L82" s="88">
        <f>F82/J82*100</f>
        <v>108.21772683280773</v>
      </c>
      <c r="M82" s="87">
        <f>M67+M71+M74+M75+M77+M78+M79+M80+M81+M73</f>
        <v>42993.478000000003</v>
      </c>
      <c r="N82" s="87">
        <f t="shared" si="53"/>
        <v>1350.3609999999971</v>
      </c>
      <c r="O82" s="88">
        <f>F82/M82*100</f>
        <v>103.14085080532448</v>
      </c>
      <c r="P82" s="88">
        <f t="shared" si="59"/>
        <v>25.785212701331119</v>
      </c>
      <c r="Q82" s="48">
        <f>Q67+Q71+Q74+Q75+Q77+Q78+Q79+Q80+Q81+Q73</f>
        <v>41144.103000000003</v>
      </c>
      <c r="R82" s="87">
        <f t="shared" si="55"/>
        <v>3199.7359999999971</v>
      </c>
      <c r="S82" s="88">
        <f>F82/Q82*100</f>
        <v>107.77690061683931</v>
      </c>
    </row>
    <row r="83" spans="1:21" s="66" customFormat="1" ht="22.5" hidden="1" x14ac:dyDescent="0.3">
      <c r="A83" s="65"/>
      <c r="B83" s="91"/>
      <c r="C83" s="56"/>
      <c r="D83" s="57"/>
      <c r="E83" s="57"/>
      <c r="F83" s="57"/>
      <c r="G83" s="57"/>
      <c r="H83" s="57"/>
      <c r="I83" s="57"/>
      <c r="J83" s="57"/>
      <c r="K83" s="92"/>
      <c r="L83" s="93"/>
      <c r="M83" s="92"/>
      <c r="N83" s="92"/>
      <c r="O83" s="93"/>
      <c r="P83" s="93"/>
      <c r="Q83" s="57"/>
      <c r="R83" s="92"/>
      <c r="S83" s="93"/>
    </row>
    <row r="84" spans="1:21" s="66" customFormat="1" ht="45" hidden="1" x14ac:dyDescent="0.3">
      <c r="A84" s="65"/>
      <c r="B84" s="91" t="s">
        <v>65</v>
      </c>
      <c r="C84" s="56"/>
      <c r="D84" s="57">
        <f>D82-D67</f>
        <v>77536.900000000009</v>
      </c>
      <c r="E84" s="57">
        <f>E82-E67</f>
        <v>98446.900000000009</v>
      </c>
      <c r="F84" s="57">
        <f t="shared" si="48"/>
        <v>18546.780999999999</v>
      </c>
      <c r="G84" s="57">
        <f>G82-G67</f>
        <v>7964.6719999999996</v>
      </c>
      <c r="H84" s="57">
        <f>H82-H67</f>
        <v>9425.0590000000011</v>
      </c>
      <c r="I84" s="57">
        <f>I82-I67</f>
        <v>1157.0499999999993</v>
      </c>
      <c r="J84" s="57">
        <f>J82-J67</f>
        <v>17367.249000000007</v>
      </c>
      <c r="K84" s="92">
        <f>F84-J84</f>
        <v>1179.531999999992</v>
      </c>
      <c r="L84" s="93">
        <f>F84/J84*100</f>
        <v>106.79170316496291</v>
      </c>
      <c r="M84" s="57">
        <f>M82-M67</f>
        <v>19384.225000000002</v>
      </c>
      <c r="N84" s="92">
        <f>F84-M84</f>
        <v>-837.44400000000314</v>
      </c>
      <c r="O84" s="93">
        <f>F84/M84*100</f>
        <v>95.679765376227294</v>
      </c>
      <c r="P84" s="93">
        <f t="shared" si="59"/>
        <v>23.919941344056824</v>
      </c>
      <c r="Q84" s="57">
        <f>Q82-Q67</f>
        <v>22674.725000000002</v>
      </c>
      <c r="R84" s="92">
        <f>F84-Q84</f>
        <v>-4127.9440000000031</v>
      </c>
      <c r="S84" s="93">
        <f>F84/Q84*100</f>
        <v>81.794954514332574</v>
      </c>
    </row>
    <row r="85" spans="1:21" s="27" customFormat="1" ht="78" x14ac:dyDescent="0.25">
      <c r="A85" s="24">
        <v>1</v>
      </c>
      <c r="B85" s="60" t="s">
        <v>134</v>
      </c>
      <c r="C85" s="25" t="s">
        <v>72</v>
      </c>
      <c r="D85" s="126">
        <v>22916.2</v>
      </c>
      <c r="E85" s="126">
        <v>120420</v>
      </c>
      <c r="F85" s="126">
        <f t="shared" si="48"/>
        <v>0</v>
      </c>
      <c r="G85" s="126">
        <v>0</v>
      </c>
      <c r="H85" s="126">
        <v>0</v>
      </c>
      <c r="I85" s="126">
        <v>0</v>
      </c>
      <c r="J85" s="126">
        <v>22916.2</v>
      </c>
      <c r="K85" s="120">
        <f>F85-J85</f>
        <v>-22916.2</v>
      </c>
      <c r="L85" s="129"/>
      <c r="M85" s="126">
        <f>D85</f>
        <v>22916.2</v>
      </c>
      <c r="N85" s="120">
        <f>F85-M85</f>
        <v>-22916.2</v>
      </c>
      <c r="O85" s="129">
        <f>F85/M85*100</f>
        <v>0</v>
      </c>
      <c r="P85" s="129">
        <f t="shared" si="59"/>
        <v>0</v>
      </c>
      <c r="Q85" s="126">
        <v>1530.3</v>
      </c>
      <c r="R85" s="120">
        <f>F85-Q85</f>
        <v>-1530.3</v>
      </c>
      <c r="S85" s="121"/>
    </row>
    <row r="86" spans="1:21" s="35" customFormat="1" ht="22.5" hidden="1" x14ac:dyDescent="0.25">
      <c r="A86" s="34"/>
      <c r="B86" s="94"/>
      <c r="C86" s="26"/>
      <c r="D86" s="57"/>
      <c r="E86" s="57"/>
      <c r="F86" s="57"/>
      <c r="G86" s="57"/>
      <c r="H86" s="57"/>
      <c r="I86" s="57"/>
      <c r="J86" s="57"/>
      <c r="K86" s="92"/>
      <c r="L86" s="93"/>
      <c r="M86" s="92"/>
      <c r="N86" s="92"/>
      <c r="O86" s="93"/>
      <c r="P86" s="93"/>
      <c r="Q86" s="57"/>
      <c r="R86" s="92"/>
      <c r="S86" s="93"/>
    </row>
    <row r="87" spans="1:21" s="49" customFormat="1" ht="37.5" customHeight="1" x14ac:dyDescent="0.3">
      <c r="A87" s="46"/>
      <c r="B87" s="50" t="s">
        <v>28</v>
      </c>
      <c r="C87" s="52"/>
      <c r="D87" s="48">
        <f>D88+D89</f>
        <v>22916.2</v>
      </c>
      <c r="E87" s="48">
        <f>E88+E89</f>
        <v>120420</v>
      </c>
      <c r="F87" s="48">
        <f t="shared" si="48"/>
        <v>0</v>
      </c>
      <c r="G87" s="48">
        <f>G88+G89</f>
        <v>0</v>
      </c>
      <c r="H87" s="48">
        <f>H88+H89</f>
        <v>0</v>
      </c>
      <c r="I87" s="48">
        <f>I88+I89</f>
        <v>0</v>
      </c>
      <c r="J87" s="48">
        <f>J88+J89</f>
        <v>22916.2</v>
      </c>
      <c r="K87" s="87">
        <f>F87-J87</f>
        <v>-22916.2</v>
      </c>
      <c r="L87" s="88">
        <f>F87/J87*100</f>
        <v>0</v>
      </c>
      <c r="M87" s="48">
        <f>M88+M89</f>
        <v>22916.2</v>
      </c>
      <c r="N87" s="87">
        <f>F87-M87</f>
        <v>-22916.2</v>
      </c>
      <c r="O87" s="88">
        <f>F87/M87*100</f>
        <v>0</v>
      </c>
      <c r="P87" s="88">
        <f t="shared" si="59"/>
        <v>0</v>
      </c>
      <c r="Q87" s="48">
        <f>Q88+Q89</f>
        <v>1530.3</v>
      </c>
      <c r="R87" s="87">
        <f>F87-Q87</f>
        <v>-1530.3</v>
      </c>
      <c r="S87" s="88"/>
    </row>
    <row r="88" spans="1:21" s="8" customFormat="1" ht="37.5" hidden="1" customHeight="1" x14ac:dyDescent="0.25">
      <c r="A88" s="14"/>
      <c r="B88" s="17" t="s">
        <v>104</v>
      </c>
      <c r="C88" s="17"/>
      <c r="D88" s="127">
        <f>D85</f>
        <v>22916.2</v>
      </c>
      <c r="E88" s="127">
        <f>E85</f>
        <v>120420</v>
      </c>
      <c r="F88" s="127">
        <f t="shared" si="48"/>
        <v>0</v>
      </c>
      <c r="G88" s="127">
        <f>G85</f>
        <v>0</v>
      </c>
      <c r="H88" s="127">
        <f>H85</f>
        <v>0</v>
      </c>
      <c r="I88" s="127">
        <f>I85</f>
        <v>0</v>
      </c>
      <c r="J88" s="127">
        <f>J85</f>
        <v>22916.2</v>
      </c>
      <c r="K88" s="124">
        <f>F88-J88</f>
        <v>-22916.2</v>
      </c>
      <c r="L88" s="125"/>
      <c r="M88" s="127">
        <f>M85</f>
        <v>22916.2</v>
      </c>
      <c r="N88" s="124">
        <f>F88-M88</f>
        <v>-22916.2</v>
      </c>
      <c r="O88" s="125">
        <f>F88/M88*100</f>
        <v>0</v>
      </c>
      <c r="P88" s="125">
        <f t="shared" si="59"/>
        <v>0</v>
      </c>
      <c r="Q88" s="127">
        <f>Q85</f>
        <v>1530.3</v>
      </c>
      <c r="R88" s="124">
        <f>F88-Q88</f>
        <v>-1530.3</v>
      </c>
      <c r="S88" s="125"/>
    </row>
    <row r="89" spans="1:21" s="8" customFormat="1" ht="37.5" hidden="1" customHeight="1" x14ac:dyDescent="0.25">
      <c r="A89" s="14"/>
      <c r="B89" s="169" t="s">
        <v>103</v>
      </c>
      <c r="C89" s="17"/>
      <c r="D89" s="127">
        <v>0</v>
      </c>
      <c r="E89" s="127">
        <v>0</v>
      </c>
      <c r="F89" s="127">
        <f t="shared" si="48"/>
        <v>0</v>
      </c>
      <c r="G89" s="127">
        <v>0</v>
      </c>
      <c r="H89" s="127">
        <v>0</v>
      </c>
      <c r="I89" s="127">
        <v>0</v>
      </c>
      <c r="J89" s="127">
        <v>0</v>
      </c>
      <c r="K89" s="124">
        <f>F89-J89</f>
        <v>0</v>
      </c>
      <c r="L89" s="125"/>
      <c r="M89" s="127">
        <v>0</v>
      </c>
      <c r="N89" s="124">
        <f>F89-M89</f>
        <v>0</v>
      </c>
      <c r="O89" s="125"/>
      <c r="P89" s="125"/>
      <c r="Q89" s="127">
        <v>0</v>
      </c>
      <c r="R89" s="124">
        <f>F89-Q89</f>
        <v>0</v>
      </c>
      <c r="S89" s="125"/>
    </row>
    <row r="90" spans="1:21" s="10" customFormat="1" ht="23.25" x14ac:dyDescent="0.25">
      <c r="A90" s="24"/>
      <c r="B90" s="40"/>
      <c r="C90" s="25"/>
      <c r="D90" s="126"/>
      <c r="E90" s="126"/>
      <c r="F90" s="130"/>
      <c r="G90" s="130"/>
      <c r="H90" s="130"/>
      <c r="I90" s="130"/>
      <c r="J90" s="126"/>
      <c r="K90" s="120"/>
      <c r="L90" s="121"/>
      <c r="M90" s="126"/>
      <c r="N90" s="120"/>
      <c r="O90" s="121"/>
      <c r="P90" s="121"/>
      <c r="Q90" s="130"/>
      <c r="R90" s="120"/>
      <c r="S90" s="121"/>
    </row>
    <row r="91" spans="1:21" s="152" customFormat="1" ht="38.25" customHeight="1" x14ac:dyDescent="0.3">
      <c r="A91" s="145"/>
      <c r="B91" s="146" t="s">
        <v>41</v>
      </c>
      <c r="C91" s="153"/>
      <c r="D91" s="148">
        <f>D82+D87</f>
        <v>194890.11200000002</v>
      </c>
      <c r="E91" s="148">
        <f>E82+E87</f>
        <v>313303.91200000001</v>
      </c>
      <c r="F91" s="148">
        <f t="shared" si="48"/>
        <v>44343.839</v>
      </c>
      <c r="G91" s="148">
        <f>G82+G87</f>
        <v>14817.088</v>
      </c>
      <c r="H91" s="148">
        <f>H82+H87</f>
        <v>17204.84</v>
      </c>
      <c r="I91" s="148">
        <f>I82+I87</f>
        <v>12321.911</v>
      </c>
      <c r="J91" s="148">
        <f>J82+J87</f>
        <v>63892.702000000005</v>
      </c>
      <c r="K91" s="149">
        <f>F91-J91</f>
        <v>-19548.863000000005</v>
      </c>
      <c r="L91" s="150">
        <f>F91/J91*100</f>
        <v>69.403605751404911</v>
      </c>
      <c r="M91" s="148">
        <f>M82+M87</f>
        <v>65909.678</v>
      </c>
      <c r="N91" s="149">
        <f>F91-M91</f>
        <v>-21565.839</v>
      </c>
      <c r="O91" s="150">
        <f>F91/M91*100</f>
        <v>67.279708148475564</v>
      </c>
      <c r="P91" s="150">
        <f t="shared" si="59"/>
        <v>22.753252355871187</v>
      </c>
      <c r="Q91" s="148">
        <f>Q82+Q87</f>
        <v>42674.403000000006</v>
      </c>
      <c r="R91" s="149">
        <f>F91-Q91</f>
        <v>1669.4359999999942</v>
      </c>
      <c r="S91" s="150">
        <f>F91/Q91*100</f>
        <v>103.9120312942632</v>
      </c>
      <c r="T91" s="152">
        <v>42674.402999999998</v>
      </c>
      <c r="U91" s="151">
        <f>T91-Q91</f>
        <v>0</v>
      </c>
    </row>
    <row r="92" spans="1:21" s="58" customFormat="1" ht="22.5" hidden="1" x14ac:dyDescent="0.3">
      <c r="A92" s="54"/>
      <c r="B92" s="55"/>
      <c r="C92" s="56"/>
      <c r="D92" s="57"/>
      <c r="E92" s="57"/>
      <c r="F92" s="57"/>
      <c r="G92" s="57"/>
      <c r="H92" s="57"/>
      <c r="I92" s="57"/>
      <c r="J92" s="57"/>
      <c r="K92" s="92"/>
      <c r="L92" s="93"/>
      <c r="M92" s="57"/>
      <c r="N92" s="92"/>
      <c r="O92" s="93"/>
      <c r="P92" s="93"/>
      <c r="Q92" s="57"/>
      <c r="R92" s="92"/>
      <c r="S92" s="93"/>
    </row>
    <row r="93" spans="1:21" s="160" customFormat="1" ht="63" hidden="1" customHeight="1" x14ac:dyDescent="0.3">
      <c r="A93" s="154"/>
      <c r="B93" s="155" t="s">
        <v>64</v>
      </c>
      <c r="C93" s="156"/>
      <c r="D93" s="157">
        <f>D91-D67</f>
        <v>100453.10000000002</v>
      </c>
      <c r="E93" s="157">
        <f>E91-E67</f>
        <v>218866.90000000002</v>
      </c>
      <c r="F93" s="157">
        <f t="shared" si="48"/>
        <v>18546.780999999999</v>
      </c>
      <c r="G93" s="157">
        <f>G91-G67</f>
        <v>7964.6719999999996</v>
      </c>
      <c r="H93" s="157">
        <f>H91-H67</f>
        <v>9425.0590000000011</v>
      </c>
      <c r="I93" s="157">
        <f>I91-I67</f>
        <v>1157.0499999999993</v>
      </c>
      <c r="J93" s="157">
        <f>J91-J67</f>
        <v>40283.449000000008</v>
      </c>
      <c r="K93" s="158">
        <f>F93-J93</f>
        <v>-21736.668000000009</v>
      </c>
      <c r="L93" s="159">
        <f>F93/J93*100</f>
        <v>46.040697756540148</v>
      </c>
      <c r="M93" s="157">
        <f>M91-M67</f>
        <v>42300.425000000003</v>
      </c>
      <c r="N93" s="158">
        <f>F93-M93</f>
        <v>-23753.644000000004</v>
      </c>
      <c r="O93" s="159">
        <f>F93/M93*100</f>
        <v>43.845377440061178</v>
      </c>
      <c r="P93" s="159">
        <f t="shared" si="59"/>
        <v>18.463124582516613</v>
      </c>
      <c r="Q93" s="157">
        <f>Q91-Q67</f>
        <v>24205.025000000005</v>
      </c>
      <c r="R93" s="158">
        <f>F93-Q93</f>
        <v>-5658.2440000000061</v>
      </c>
      <c r="S93" s="159">
        <f>F93/Q93*100</f>
        <v>76.623680413467838</v>
      </c>
    </row>
    <row r="94" spans="1:21" s="13" customFormat="1" ht="35.25" customHeight="1" x14ac:dyDescent="0.25">
      <c r="A94" s="183" t="s">
        <v>40</v>
      </c>
      <c r="B94" s="183"/>
      <c r="C94" s="183"/>
      <c r="D94" s="183"/>
      <c r="E94" s="183"/>
      <c r="F94" s="183"/>
      <c r="G94" s="183"/>
      <c r="H94" s="183"/>
      <c r="I94" s="183"/>
      <c r="J94" s="183"/>
      <c r="K94" s="183"/>
      <c r="L94" s="183"/>
      <c r="M94" s="183"/>
      <c r="N94" s="183"/>
      <c r="O94" s="183"/>
      <c r="P94" s="183"/>
      <c r="Q94" s="183"/>
      <c r="R94" s="183"/>
      <c r="S94" s="183"/>
    </row>
    <row r="95" spans="1:21" s="152" customFormat="1" ht="30" customHeight="1" x14ac:dyDescent="0.3">
      <c r="A95" s="161"/>
      <c r="B95" s="146" t="s">
        <v>158</v>
      </c>
      <c r="C95" s="153"/>
      <c r="D95" s="148">
        <f>D46+D82</f>
        <v>4561433.8969999999</v>
      </c>
      <c r="E95" s="148">
        <f>E46+E82</f>
        <v>3944505.3009999995</v>
      </c>
      <c r="F95" s="148">
        <f t="shared" si="48"/>
        <v>1029421.7890000001</v>
      </c>
      <c r="G95" s="148">
        <f>G46+G82</f>
        <v>318356.81500000006</v>
      </c>
      <c r="H95" s="148">
        <f>H46+H82</f>
        <v>399808.81200000003</v>
      </c>
      <c r="I95" s="148">
        <f>I46+I82</f>
        <v>311256.16200000001</v>
      </c>
      <c r="J95" s="148">
        <f>J46+J82</f>
        <v>1002878.365</v>
      </c>
      <c r="K95" s="149">
        <f>F95-J95</f>
        <v>26543.424000000115</v>
      </c>
      <c r="L95" s="150">
        <f>F95/J95*100</f>
        <v>102.646724161808</v>
      </c>
      <c r="M95" s="148">
        <f>M46+M82</f>
        <v>1140358.47425</v>
      </c>
      <c r="N95" s="149">
        <f>F95-M95</f>
        <v>-110936.68524999986</v>
      </c>
      <c r="O95" s="150">
        <f>F95/M95*100</f>
        <v>90.271770872491501</v>
      </c>
      <c r="P95" s="150">
        <f t="shared" si="59"/>
        <v>22.567942718122875</v>
      </c>
      <c r="Q95" s="148">
        <f>Q46+Q82</f>
        <v>860544.57899999991</v>
      </c>
      <c r="R95" s="149">
        <f>F95-Q95</f>
        <v>168877.2100000002</v>
      </c>
      <c r="S95" s="150">
        <f>F95/Q95*100</f>
        <v>119.62445806076019</v>
      </c>
    </row>
    <row r="96" spans="1:21" s="32" customFormat="1" ht="22.5" x14ac:dyDescent="0.3">
      <c r="A96" s="12"/>
      <c r="B96" s="16"/>
      <c r="C96" s="26"/>
      <c r="D96" s="57"/>
      <c r="E96" s="57"/>
      <c r="F96" s="57"/>
      <c r="G96" s="57"/>
      <c r="H96" s="57"/>
      <c r="I96" s="57"/>
      <c r="J96" s="57"/>
      <c r="K96" s="92"/>
      <c r="L96" s="93"/>
      <c r="M96" s="57"/>
      <c r="N96" s="92"/>
      <c r="O96" s="93"/>
      <c r="P96" s="93"/>
      <c r="Q96" s="57"/>
      <c r="R96" s="92"/>
      <c r="S96" s="93"/>
    </row>
    <row r="97" spans="1:21" s="49" customFormat="1" ht="31.5" customHeight="1" x14ac:dyDescent="0.3">
      <c r="A97" s="46"/>
      <c r="B97" s="50" t="s">
        <v>28</v>
      </c>
      <c r="C97" s="52"/>
      <c r="D97" s="48">
        <f>D58+D87</f>
        <v>932227.53999999992</v>
      </c>
      <c r="E97" s="48" t="e">
        <f>E58+E87</f>
        <v>#REF!</v>
      </c>
      <c r="F97" s="48">
        <f t="shared" si="48"/>
        <v>209401.46299999999</v>
      </c>
      <c r="G97" s="48">
        <f>G58+G87</f>
        <v>69678.231999999989</v>
      </c>
      <c r="H97" s="48">
        <f>H58+H87</f>
        <v>69894.97</v>
      </c>
      <c r="I97" s="48">
        <f>I58+I87</f>
        <v>69828.260999999999</v>
      </c>
      <c r="J97" s="48">
        <f>J58+J87</f>
        <v>233144.62400000001</v>
      </c>
      <c r="K97" s="87">
        <f>F97-J97</f>
        <v>-23743.161000000022</v>
      </c>
      <c r="L97" s="88">
        <f>F97/J97*100</f>
        <v>89.816123317516414</v>
      </c>
      <c r="M97" s="48">
        <f>M58+M87</f>
        <v>928903.52999999991</v>
      </c>
      <c r="N97" s="87">
        <f>F97-M97</f>
        <v>-719502.06699999992</v>
      </c>
      <c r="O97" s="88">
        <f>F97/M97*100</f>
        <v>22.542864381191446</v>
      </c>
      <c r="P97" s="88">
        <f t="shared" si="59"/>
        <v>22.462484105543588</v>
      </c>
      <c r="Q97" s="48">
        <f>Q58+Q87</f>
        <v>160234.61500000002</v>
      </c>
      <c r="R97" s="87">
        <f>F97-Q97</f>
        <v>49166.847999999969</v>
      </c>
      <c r="S97" s="88">
        <f>F97/Q97*100</f>
        <v>130.68428628857751</v>
      </c>
    </row>
    <row r="98" spans="1:21" s="58" customFormat="1" ht="39" hidden="1" customHeight="1" x14ac:dyDescent="0.3">
      <c r="A98" s="162"/>
      <c r="B98" s="59" t="s">
        <v>73</v>
      </c>
      <c r="C98" s="56"/>
      <c r="D98" s="57">
        <f t="shared" ref="D98:E98" si="60">D99+D100</f>
        <v>903227.53999999992</v>
      </c>
      <c r="E98" s="57" t="e">
        <f t="shared" si="60"/>
        <v>#REF!</v>
      </c>
      <c r="F98" s="57">
        <f t="shared" si="48"/>
        <v>202151.36300000001</v>
      </c>
      <c r="G98" s="57">
        <f t="shared" ref="G98:J98" si="61">G99+G100</f>
        <v>67261.531999999992</v>
      </c>
      <c r="H98" s="57">
        <f t="shared" ref="H98:I98" si="62">H99+H100</f>
        <v>67478.27</v>
      </c>
      <c r="I98" s="57">
        <f t="shared" si="62"/>
        <v>67411.561000000002</v>
      </c>
      <c r="J98" s="57">
        <f t="shared" si="61"/>
        <v>225894.524</v>
      </c>
      <c r="K98" s="92">
        <f>F98-J98</f>
        <v>-23743.160999999993</v>
      </c>
      <c r="L98" s="93">
        <f>F98/J98*100</f>
        <v>89.489271107784802</v>
      </c>
      <c r="M98" s="57">
        <f t="shared" ref="M98" si="63">M99+M100</f>
        <v>899903.52999999991</v>
      </c>
      <c r="N98" s="92">
        <f>F98-M98</f>
        <v>-697752.1669999999</v>
      </c>
      <c r="O98" s="93">
        <f>F98/M98*100</f>
        <v>22.463670411427326</v>
      </c>
      <c r="P98" s="93">
        <f t="shared" si="59"/>
        <v>22.38100080517917</v>
      </c>
      <c r="Q98" s="57">
        <f t="shared" ref="Q98" si="64">Q99+Q100</f>
        <v>160234.61500000002</v>
      </c>
      <c r="R98" s="92">
        <f>F98-Q98</f>
        <v>41916.747999999992</v>
      </c>
      <c r="S98" s="93">
        <f>F98/Q98*100</f>
        <v>126.15960852154198</v>
      </c>
    </row>
    <row r="99" spans="1:21" s="165" customFormat="1" ht="23.25" hidden="1" x14ac:dyDescent="0.35">
      <c r="A99" s="163"/>
      <c r="B99" s="164" t="s">
        <v>104</v>
      </c>
      <c r="C99" s="164"/>
      <c r="D99" s="127">
        <f>D62+D88</f>
        <v>878600.29999999993</v>
      </c>
      <c r="E99" s="127" t="e">
        <f>E62+E88</f>
        <v>#REF!</v>
      </c>
      <c r="F99" s="127">
        <f t="shared" si="48"/>
        <v>197663.09999999998</v>
      </c>
      <c r="G99" s="127">
        <f>G62+G88</f>
        <v>65887.7</v>
      </c>
      <c r="H99" s="127">
        <f>H62+H88</f>
        <v>65887.7</v>
      </c>
      <c r="I99" s="127">
        <f>I62+I88</f>
        <v>65887.7</v>
      </c>
      <c r="J99" s="127">
        <f>J62+J88</f>
        <v>220579.30000000002</v>
      </c>
      <c r="K99" s="124">
        <f>F99-J99</f>
        <v>-22916.200000000041</v>
      </c>
      <c r="L99" s="125">
        <f>F99/J99*100</f>
        <v>89.610901838930474</v>
      </c>
      <c r="M99" s="127">
        <f>M62+M88</f>
        <v>878600.29999999993</v>
      </c>
      <c r="N99" s="124">
        <f>F99-M99</f>
        <v>-680937.2</v>
      </c>
      <c r="O99" s="125">
        <f>F99/M99*100</f>
        <v>22.497499716310134</v>
      </c>
      <c r="P99" s="125">
        <f t="shared" si="59"/>
        <v>22.497499716310134</v>
      </c>
      <c r="Q99" s="127">
        <f>Q62+Q88</f>
        <v>153128.20000000001</v>
      </c>
      <c r="R99" s="124">
        <f>F99-Q99</f>
        <v>44534.899999999965</v>
      </c>
      <c r="S99" s="125">
        <f>F99/Q99*100</f>
        <v>129.08340854264594</v>
      </c>
    </row>
    <row r="100" spans="1:21" s="165" customFormat="1" ht="23.25" hidden="1" x14ac:dyDescent="0.35">
      <c r="A100" s="163"/>
      <c r="B100" s="164" t="s">
        <v>103</v>
      </c>
      <c r="C100" s="164"/>
      <c r="D100" s="127">
        <f>D89+D63</f>
        <v>24627.24</v>
      </c>
      <c r="E100" s="127">
        <f>E89+E63</f>
        <v>26319.402000000002</v>
      </c>
      <c r="F100" s="127">
        <f t="shared" si="48"/>
        <v>4488.2629999999999</v>
      </c>
      <c r="G100" s="127">
        <f>G89+G63</f>
        <v>1373.8319999999999</v>
      </c>
      <c r="H100" s="127">
        <f>H89+H63</f>
        <v>1590.57</v>
      </c>
      <c r="I100" s="127">
        <f>I89+I63</f>
        <v>1523.8609999999999</v>
      </c>
      <c r="J100" s="127">
        <f>J89+J63</f>
        <v>5315.2240000000002</v>
      </c>
      <c r="K100" s="124">
        <f>F100-J100</f>
        <v>-826.96100000000024</v>
      </c>
      <c r="L100" s="125">
        <f>F100/J100*100</f>
        <v>84.441652882362064</v>
      </c>
      <c r="M100" s="127">
        <f>M89+M63</f>
        <v>21303.230000000003</v>
      </c>
      <c r="N100" s="124">
        <f>F100-M100</f>
        <v>-16814.967000000004</v>
      </c>
      <c r="O100" s="125">
        <f>F100/M100*100</f>
        <v>21.068462388097952</v>
      </c>
      <c r="P100" s="125">
        <f t="shared" si="59"/>
        <v>18.224790922571916</v>
      </c>
      <c r="Q100" s="127">
        <f>Q89+Q63</f>
        <v>7106.4150000000009</v>
      </c>
      <c r="R100" s="124">
        <f>F100-Q100</f>
        <v>-2618.152000000001</v>
      </c>
      <c r="S100" s="125">
        <f>F100/Q100*100</f>
        <v>63.157907327393623</v>
      </c>
    </row>
    <row r="101" spans="1:21" s="8" customFormat="1" ht="23.25" x14ac:dyDescent="0.25">
      <c r="A101" s="28"/>
      <c r="B101" s="44"/>
      <c r="C101" s="17"/>
      <c r="D101" s="127"/>
      <c r="E101" s="127"/>
      <c r="F101" s="127"/>
      <c r="G101" s="127"/>
      <c r="H101" s="127"/>
      <c r="I101" s="127"/>
      <c r="J101" s="127"/>
      <c r="K101" s="124"/>
      <c r="L101" s="125"/>
      <c r="M101" s="127"/>
      <c r="N101" s="124"/>
      <c r="O101" s="125"/>
      <c r="P101" s="125"/>
      <c r="Q101" s="127"/>
      <c r="R101" s="124"/>
      <c r="S101" s="125"/>
    </row>
    <row r="102" spans="1:21" s="152" customFormat="1" ht="48.75" customHeight="1" x14ac:dyDescent="0.3">
      <c r="A102" s="161"/>
      <c r="B102" s="146" t="s">
        <v>144</v>
      </c>
      <c r="C102" s="153"/>
      <c r="D102" s="148">
        <f>D95+D97</f>
        <v>5493661.4369999999</v>
      </c>
      <c r="E102" s="148" t="e">
        <f>E95+E97</f>
        <v>#REF!</v>
      </c>
      <c r="F102" s="148">
        <f t="shared" si="48"/>
        <v>1238823.2520000001</v>
      </c>
      <c r="G102" s="148">
        <f>G95+G97</f>
        <v>388035.04700000002</v>
      </c>
      <c r="H102" s="148">
        <f>H95+H97</f>
        <v>469703.78200000001</v>
      </c>
      <c r="I102" s="148">
        <f>I95+I97</f>
        <v>381084.42300000001</v>
      </c>
      <c r="J102" s="148">
        <f>J95+J97</f>
        <v>1236022.9890000001</v>
      </c>
      <c r="K102" s="149">
        <f>F102-J102</f>
        <v>2800.2630000000354</v>
      </c>
      <c r="L102" s="150">
        <f>F102/J102*100</f>
        <v>100.22655428134597</v>
      </c>
      <c r="M102" s="148">
        <f>M91+M65</f>
        <v>2069262.00425</v>
      </c>
      <c r="N102" s="149">
        <f>F102-M102</f>
        <v>-830438.7522499999</v>
      </c>
      <c r="O102" s="150">
        <f>F102/M102*100</f>
        <v>59.86787799010542</v>
      </c>
      <c r="P102" s="150">
        <f t="shared" si="59"/>
        <v>22.550047290072932</v>
      </c>
      <c r="Q102" s="148">
        <f>Q95+Q97</f>
        <v>1020779.1939999999</v>
      </c>
      <c r="R102" s="149">
        <f>F102-Q102</f>
        <v>218044.05800000019</v>
      </c>
      <c r="S102" s="150">
        <f>F102/Q102*100</f>
        <v>121.3605507715707</v>
      </c>
      <c r="T102" s="148">
        <v>1020779.1939999999</v>
      </c>
      <c r="U102" s="148">
        <f>T102-Q102</f>
        <v>0</v>
      </c>
    </row>
    <row r="103" spans="1:21" s="15" customFormat="1" ht="3.75" customHeight="1" x14ac:dyDescent="0.3">
      <c r="A103" s="36"/>
      <c r="B103" s="37"/>
      <c r="C103" s="38"/>
      <c r="D103" s="38"/>
      <c r="E103" s="39"/>
      <c r="F103" s="39"/>
      <c r="G103" s="39"/>
      <c r="H103" s="39"/>
      <c r="I103" s="39"/>
      <c r="J103" s="39"/>
      <c r="K103" s="95"/>
      <c r="L103" s="96"/>
      <c r="M103" s="39"/>
      <c r="N103" s="95"/>
      <c r="O103" s="96"/>
      <c r="P103" s="96"/>
      <c r="Q103" s="39"/>
      <c r="R103" s="95"/>
      <c r="S103" s="96"/>
    </row>
    <row r="104" spans="1:21" s="15" customFormat="1" ht="50.25" customHeight="1" x14ac:dyDescent="0.4">
      <c r="A104" s="36"/>
      <c r="B104" s="22" t="s">
        <v>93</v>
      </c>
      <c r="C104" s="22"/>
      <c r="D104" s="22"/>
      <c r="E104" s="22"/>
      <c r="F104" s="22" t="s">
        <v>94</v>
      </c>
      <c r="G104" s="22"/>
      <c r="H104" s="22"/>
      <c r="I104" s="22"/>
      <c r="J104" s="39"/>
      <c r="K104" s="95"/>
      <c r="L104" s="96"/>
      <c r="M104" s="39"/>
      <c r="N104" s="95"/>
      <c r="O104" s="96"/>
      <c r="P104" s="96"/>
      <c r="Q104" s="22"/>
      <c r="R104" s="95"/>
      <c r="S104" s="96"/>
    </row>
    <row r="105" spans="1:21" s="8" customFormat="1" ht="18" customHeight="1" x14ac:dyDescent="0.45">
      <c r="A105" s="6"/>
      <c r="B105" s="31" t="s">
        <v>51</v>
      </c>
      <c r="C105" s="19"/>
      <c r="D105" s="19"/>
      <c r="E105" s="19"/>
      <c r="F105" s="21"/>
      <c r="G105" s="21"/>
      <c r="H105" s="21"/>
      <c r="I105" s="21"/>
      <c r="J105" s="7"/>
      <c r="K105" s="97"/>
      <c r="L105" s="98"/>
      <c r="M105" s="7"/>
      <c r="N105" s="97"/>
      <c r="O105" s="98"/>
      <c r="P105" s="98"/>
      <c r="Q105" s="21"/>
      <c r="R105" s="97"/>
      <c r="S105" s="98"/>
    </row>
    <row r="106" spans="1:21" s="8" customFormat="1" ht="30.75" hidden="1" x14ac:dyDescent="0.45">
      <c r="A106" s="6"/>
      <c r="B106" s="19"/>
      <c r="C106" s="19"/>
      <c r="D106" s="19"/>
      <c r="E106" s="136"/>
      <c r="F106" s="21"/>
      <c r="G106" s="21"/>
      <c r="H106" s="21"/>
      <c r="I106" s="21"/>
      <c r="J106" s="7"/>
      <c r="K106" s="97"/>
      <c r="L106" s="98"/>
      <c r="M106" s="7"/>
      <c r="N106" s="97"/>
      <c r="O106" s="98"/>
      <c r="P106" s="98"/>
      <c r="Q106" s="21"/>
      <c r="R106" s="97"/>
      <c r="S106" s="98"/>
    </row>
    <row r="107" spans="1:21" s="4" customFormat="1" ht="30.75" hidden="1" x14ac:dyDescent="0.45">
      <c r="A107" s="29"/>
      <c r="B107" s="19"/>
      <c r="C107" s="19"/>
      <c r="D107" s="114">
        <v>5493661.4369999999</v>
      </c>
      <c r="E107" s="114">
        <v>4242798.9189999998</v>
      </c>
      <c r="F107" s="114">
        <v>1238823.2509999999</v>
      </c>
      <c r="G107" s="115"/>
      <c r="H107" s="115"/>
      <c r="I107" s="115"/>
      <c r="J107" s="114">
        <v>1236022.9890000001</v>
      </c>
      <c r="K107" s="5"/>
      <c r="L107" s="5"/>
      <c r="M107" s="22"/>
      <c r="N107" s="5"/>
      <c r="O107" s="5"/>
      <c r="P107" s="5"/>
      <c r="Q107" s="114"/>
      <c r="R107" s="5"/>
    </row>
    <row r="108" spans="1:21" ht="12" hidden="1" customHeight="1" x14ac:dyDescent="0.45">
      <c r="B108" s="31"/>
      <c r="C108" s="21"/>
      <c r="D108" s="21"/>
      <c r="E108" s="21"/>
      <c r="F108" s="21"/>
      <c r="G108" s="21"/>
      <c r="H108" s="21"/>
      <c r="I108" s="21"/>
      <c r="Q108" s="21"/>
    </row>
    <row r="109" spans="1:21" s="2" customFormat="1" ht="30.75" hidden="1" customHeight="1" x14ac:dyDescent="0.45">
      <c r="A109" s="30"/>
      <c r="B109" s="19"/>
      <c r="C109" s="19"/>
      <c r="D109" s="19"/>
      <c r="E109" s="19"/>
      <c r="F109" s="21"/>
      <c r="G109" s="21"/>
      <c r="H109" s="21"/>
      <c r="I109" s="21"/>
      <c r="K109" s="171"/>
      <c r="L109" s="171"/>
      <c r="M109" s="171"/>
      <c r="N109" s="171"/>
      <c r="O109" s="171"/>
      <c r="P109" s="171"/>
      <c r="Q109" s="21"/>
      <c r="R109" s="171"/>
    </row>
    <row r="110" spans="1:21" s="2" customFormat="1" ht="30.75" hidden="1" customHeight="1" x14ac:dyDescent="0.45">
      <c r="A110" s="30"/>
      <c r="B110" s="19"/>
      <c r="C110" s="19"/>
      <c r="D110" s="19"/>
      <c r="E110" s="19"/>
      <c r="F110" s="21"/>
      <c r="G110" s="21"/>
      <c r="H110" s="21"/>
      <c r="I110" s="21"/>
      <c r="K110" s="171"/>
      <c r="L110" s="171"/>
      <c r="M110" s="171"/>
      <c r="N110" s="171"/>
      <c r="O110" s="171"/>
      <c r="P110" s="171"/>
      <c r="Q110" s="21"/>
      <c r="R110" s="171"/>
    </row>
    <row r="111" spans="1:21" s="2" customFormat="1" ht="16.5" hidden="1" customHeight="1" x14ac:dyDescent="0.45">
      <c r="A111" s="30"/>
      <c r="B111" s="31"/>
      <c r="C111" s="21"/>
      <c r="D111" s="21"/>
      <c r="E111" s="21"/>
      <c r="F111" s="21"/>
      <c r="G111" s="21"/>
      <c r="H111" s="21"/>
      <c r="I111" s="21"/>
      <c r="K111" s="171"/>
      <c r="L111" s="171"/>
      <c r="M111" s="171"/>
      <c r="N111" s="171"/>
      <c r="O111" s="171"/>
      <c r="P111" s="171"/>
      <c r="Q111" s="21"/>
      <c r="R111" s="171"/>
    </row>
    <row r="112" spans="1:21" ht="18.75" hidden="1" x14ac:dyDescent="0.3">
      <c r="B112" s="29"/>
      <c r="D112" s="114">
        <f>D107-D102</f>
        <v>0</v>
      </c>
      <c r="E112" s="114" t="e">
        <f>E107-E102</f>
        <v>#REF!</v>
      </c>
      <c r="F112" s="114">
        <f>F107-F102</f>
        <v>-1.0000001639127731E-3</v>
      </c>
      <c r="J112" s="114">
        <f>J107-J102</f>
        <v>0</v>
      </c>
      <c r="K112" s="181" t="s">
        <v>48</v>
      </c>
      <c r="L112" s="181"/>
      <c r="M112" s="100">
        <f>D46/12*3</f>
        <v>1097364.9962499999</v>
      </c>
      <c r="Q112" s="114"/>
    </row>
    <row r="113" spans="2:44" ht="18.75" hidden="1" x14ac:dyDescent="0.3">
      <c r="B113" s="29"/>
      <c r="J113" s="116"/>
      <c r="K113" s="171"/>
      <c r="L113" s="171"/>
      <c r="M113" s="100">
        <f>M112-M46</f>
        <v>0</v>
      </c>
    </row>
    <row r="114" spans="2:44" ht="18.75" hidden="1" x14ac:dyDescent="0.3">
      <c r="B114" s="4"/>
      <c r="C114" s="3"/>
      <c r="D114" s="3"/>
      <c r="E114" s="115">
        <v>4242798.9189999998</v>
      </c>
      <c r="F114" s="115"/>
      <c r="K114" s="181" t="s">
        <v>49</v>
      </c>
      <c r="L114" s="181"/>
      <c r="M114" s="99">
        <f>D82/12*3</f>
        <v>42993.478000000003</v>
      </c>
      <c r="Q114" s="115"/>
    </row>
    <row r="115" spans="2:44" ht="18.75" hidden="1" x14ac:dyDescent="0.3">
      <c r="B115" s="4"/>
      <c r="C115" s="3"/>
      <c r="D115" s="3"/>
      <c r="E115" s="3"/>
      <c r="K115" s="171"/>
      <c r="L115" s="171"/>
      <c r="M115" s="100">
        <f>M114-M82</f>
        <v>0</v>
      </c>
    </row>
    <row r="116" spans="2:44" ht="22.5" hidden="1" x14ac:dyDescent="0.3">
      <c r="B116" s="4"/>
      <c r="C116" s="3"/>
      <c r="D116" s="3"/>
      <c r="E116" s="137"/>
      <c r="F116" s="137"/>
      <c r="K116" s="181" t="s">
        <v>50</v>
      </c>
      <c r="L116" s="181"/>
      <c r="M116" s="100">
        <f>M114+M87</f>
        <v>65909.678</v>
      </c>
      <c r="Q116" s="137"/>
    </row>
    <row r="117" spans="2:44" ht="18.75" hidden="1" x14ac:dyDescent="0.3">
      <c r="B117" s="4"/>
      <c r="C117" s="3"/>
      <c r="D117" s="3"/>
      <c r="E117" s="3"/>
      <c r="K117" s="171"/>
      <c r="L117" s="171"/>
      <c r="M117" s="100">
        <f>M116-M91</f>
        <v>0</v>
      </c>
    </row>
    <row r="118" spans="2:44" ht="18.75" hidden="1" x14ac:dyDescent="0.3">
      <c r="B118" s="4"/>
      <c r="C118" s="3"/>
      <c r="D118" s="3"/>
      <c r="E118" s="3"/>
    </row>
    <row r="119" spans="2:44" ht="18.75" x14ac:dyDescent="0.3">
      <c r="B119" s="138"/>
      <c r="C119" s="3"/>
      <c r="D119" s="3"/>
      <c r="E119" s="3"/>
    </row>
    <row r="120" spans="2:44" ht="23.25" x14ac:dyDescent="0.3">
      <c r="B120" s="4"/>
      <c r="C120" s="3"/>
      <c r="D120" s="148">
        <v>5493661.4369999999</v>
      </c>
      <c r="E120" s="3"/>
      <c r="F120" s="148">
        <v>1238823.2520000001</v>
      </c>
    </row>
    <row r="121" spans="2:44" s="20" customFormat="1" ht="18.75" x14ac:dyDescent="0.3">
      <c r="B121" s="4"/>
      <c r="C121" s="3"/>
      <c r="D121" s="3"/>
      <c r="E121" s="3"/>
      <c r="F121" s="3"/>
      <c r="G121" s="3"/>
      <c r="H121" s="3"/>
      <c r="I121" s="3"/>
      <c r="J121" s="3"/>
      <c r="K121" s="1"/>
      <c r="L121" s="1"/>
      <c r="M121" s="1"/>
      <c r="N121" s="1"/>
      <c r="O121" s="1"/>
      <c r="P121" s="1"/>
      <c r="Q121" s="3"/>
      <c r="R121" s="1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</row>
    <row r="122" spans="2:44" s="20" customFormat="1" ht="18.75" x14ac:dyDescent="0.3">
      <c r="B122" s="4"/>
      <c r="C122" s="3"/>
      <c r="D122" s="3"/>
      <c r="E122" s="115"/>
      <c r="F122" s="115"/>
      <c r="G122" s="3"/>
      <c r="H122" s="3"/>
      <c r="I122" s="3"/>
      <c r="J122" s="3"/>
      <c r="K122" s="1"/>
      <c r="L122" s="1"/>
      <c r="M122" s="1"/>
      <c r="N122" s="1"/>
      <c r="O122" s="1"/>
      <c r="P122" s="1"/>
      <c r="Q122" s="115"/>
      <c r="R122" s="1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</row>
    <row r="123" spans="2:44" s="20" customFormat="1" ht="18.75" x14ac:dyDescent="0.3">
      <c r="B123" s="4"/>
      <c r="C123" s="3"/>
      <c r="D123" s="174"/>
      <c r="E123" s="3"/>
      <c r="F123" s="3"/>
      <c r="G123" s="3"/>
      <c r="H123" s="3"/>
      <c r="I123" s="3"/>
      <c r="J123" s="3"/>
      <c r="K123" s="1"/>
      <c r="L123" s="1"/>
      <c r="M123" s="1"/>
      <c r="N123" s="1"/>
      <c r="O123" s="1"/>
      <c r="P123" s="1"/>
      <c r="Q123" s="3"/>
      <c r="R123" s="1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</row>
    <row r="124" spans="2:44" s="20" customFormat="1" ht="18.75" x14ac:dyDescent="0.3">
      <c r="B124" s="4"/>
      <c r="C124" s="3"/>
      <c r="D124" s="3"/>
      <c r="E124" s="3"/>
      <c r="F124" s="3"/>
      <c r="G124" s="3"/>
      <c r="H124" s="3"/>
      <c r="I124" s="3"/>
      <c r="J124" s="3"/>
      <c r="K124" s="1"/>
      <c r="L124" s="1"/>
      <c r="M124" s="1"/>
      <c r="N124" s="1"/>
      <c r="O124" s="1"/>
      <c r="P124" s="1"/>
      <c r="Q124" s="3"/>
      <c r="R124" s="1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</row>
    <row r="125" spans="2:44" s="20" customFormat="1" ht="22.5" x14ac:dyDescent="0.3">
      <c r="B125" s="4"/>
      <c r="C125" s="3"/>
      <c r="D125" s="137"/>
      <c r="E125" s="3"/>
      <c r="F125" s="3"/>
      <c r="G125" s="3"/>
      <c r="H125" s="3"/>
      <c r="I125" s="3"/>
      <c r="J125" s="3"/>
      <c r="K125" s="1"/>
      <c r="L125" s="1"/>
      <c r="M125" s="1"/>
      <c r="N125" s="1"/>
      <c r="O125" s="1"/>
      <c r="P125" s="1"/>
      <c r="Q125" s="3"/>
      <c r="R125" s="1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</row>
    <row r="126" spans="2:44" s="20" customFormat="1" ht="18.75" x14ac:dyDescent="0.3">
      <c r="B126" s="4"/>
      <c r="C126" s="3"/>
      <c r="D126" s="3"/>
      <c r="E126" s="3"/>
      <c r="F126" s="115"/>
      <c r="G126" s="3"/>
      <c r="H126" s="3"/>
      <c r="I126" s="3"/>
      <c r="J126" s="3"/>
      <c r="K126" s="1"/>
      <c r="L126" s="1"/>
      <c r="M126" s="1"/>
      <c r="N126" s="1"/>
      <c r="O126" s="1"/>
      <c r="P126" s="1"/>
      <c r="Q126" s="115"/>
      <c r="R126" s="1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</row>
    <row r="127" spans="2:44" s="20" customFormat="1" ht="18.75" x14ac:dyDescent="0.3">
      <c r="B127" s="4"/>
      <c r="C127" s="3"/>
      <c r="D127" s="3"/>
      <c r="E127" s="3"/>
      <c r="F127" s="3"/>
      <c r="G127" s="3"/>
      <c r="H127" s="3"/>
      <c r="I127" s="3"/>
      <c r="J127" s="3"/>
      <c r="K127" s="1"/>
      <c r="L127" s="1"/>
      <c r="M127" s="1"/>
      <c r="N127" s="1"/>
      <c r="O127" s="1"/>
      <c r="P127" s="1"/>
      <c r="Q127" s="3"/>
      <c r="R127" s="1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</row>
    <row r="128" spans="2:44" s="20" customFormat="1" ht="18.75" x14ac:dyDescent="0.3">
      <c r="B128" s="4"/>
      <c r="C128" s="3"/>
      <c r="D128" s="3"/>
      <c r="E128" s="3"/>
      <c r="F128" s="3"/>
      <c r="G128" s="3"/>
      <c r="H128" s="3"/>
      <c r="I128" s="3"/>
      <c r="J128" s="3"/>
      <c r="K128" s="1"/>
      <c r="L128" s="1"/>
      <c r="M128" s="1"/>
      <c r="N128" s="1"/>
      <c r="O128" s="1"/>
      <c r="P128" s="1"/>
      <c r="Q128" s="3"/>
      <c r="R128" s="1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</row>
    <row r="129" spans="2:44" s="20" customFormat="1" ht="18.75" x14ac:dyDescent="0.3">
      <c r="B129" s="29"/>
      <c r="F129" s="3"/>
      <c r="G129" s="3"/>
      <c r="H129" s="3"/>
      <c r="I129" s="3"/>
      <c r="J129" s="3"/>
      <c r="K129" s="1"/>
      <c r="L129" s="1"/>
      <c r="M129" s="1"/>
      <c r="N129" s="1"/>
      <c r="O129" s="1"/>
      <c r="P129" s="1"/>
      <c r="Q129" s="3"/>
      <c r="R129" s="1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</row>
    <row r="130" spans="2:44" s="20" customFormat="1" ht="18.75" x14ac:dyDescent="0.3">
      <c r="B130" s="29"/>
      <c r="F130" s="3"/>
      <c r="G130" s="3"/>
      <c r="H130" s="3"/>
      <c r="I130" s="3"/>
      <c r="J130" s="3"/>
      <c r="K130" s="1"/>
      <c r="L130" s="1"/>
      <c r="M130" s="1"/>
      <c r="N130" s="1"/>
      <c r="O130" s="1"/>
      <c r="P130" s="1"/>
      <c r="Q130" s="3"/>
      <c r="R130" s="1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</row>
  </sheetData>
  <mergeCells count="27">
    <mergeCell ref="O3:O4"/>
    <mergeCell ref="P3:P4"/>
    <mergeCell ref="Q3:Q4"/>
    <mergeCell ref="R3:R4"/>
    <mergeCell ref="I3:I4"/>
    <mergeCell ref="A66:S66"/>
    <mergeCell ref="K114:L114"/>
    <mergeCell ref="K116:L116"/>
    <mergeCell ref="C20:C22"/>
    <mergeCell ref="K112:L112"/>
    <mergeCell ref="A94:S94"/>
    <mergeCell ref="A1:S1"/>
    <mergeCell ref="A6:S6"/>
    <mergeCell ref="G3:G4"/>
    <mergeCell ref="B3:B4"/>
    <mergeCell ref="C3:C4"/>
    <mergeCell ref="D3:D4"/>
    <mergeCell ref="E3:E4"/>
    <mergeCell ref="F3:F4"/>
    <mergeCell ref="A3:A4"/>
    <mergeCell ref="H3:H4"/>
    <mergeCell ref="S3:S4"/>
    <mergeCell ref="J3:J4"/>
    <mergeCell ref="K3:K4"/>
    <mergeCell ref="L3:L4"/>
    <mergeCell ref="M3:M4"/>
    <mergeCell ref="N3:N4"/>
  </mergeCells>
  <printOptions horizontalCentered="1"/>
  <pageMargins left="0.39370078740157483" right="0" top="0" bottom="0" header="0.23622047244094491" footer="0.11811023622047245"/>
  <pageSetup paperSize="8" scale="66" fitToHeight="6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DC5F1B-D535-4A3F-8E8B-D26E9B29982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2022</vt:lpstr>
      <vt:lpstr>'2022'!Заголовки_для_печати</vt:lpstr>
      <vt:lpstr>'2022'!Область_печати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2022-04-26T12:49:08Z</cp:lastPrinted>
  <dcterms:created xsi:type="dcterms:W3CDTF">1996-10-08T23:32:33Z</dcterms:created>
  <dcterms:modified xsi:type="dcterms:W3CDTF">2022-04-26T14:31:55Z</dcterms:modified>
</cp:coreProperties>
</file>